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EFB8" lockStructure="1"/>
  <bookViews>
    <workbookView xWindow="330" yWindow="15" windowWidth="11340" windowHeight="6540" tabRatio="764"/>
  </bookViews>
  <sheets>
    <sheet name="TermoTag" sheetId="13" r:id="rId1"/>
    <sheet name="Ark1" sheetId="14" state="hidden" r:id="rId2"/>
  </sheets>
  <definedNames>
    <definedName name="_xlnm.Print_Area" localSheetId="0">TermoTag!$A$1:$H$41</definedName>
  </definedNames>
  <calcPr calcId="145621"/>
</workbook>
</file>

<file path=xl/calcChain.xml><?xml version="1.0" encoding="utf-8"?>
<calcChain xmlns="http://schemas.openxmlformats.org/spreadsheetml/2006/main">
  <c r="C36" i="14" l="1"/>
  <c r="C35" i="14"/>
  <c r="Q34" i="14"/>
  <c r="C34" i="14"/>
  <c r="Q33" i="14"/>
  <c r="Q32" i="14"/>
  <c r="Q31" i="14"/>
  <c r="K31" i="14"/>
  <c r="C31" i="14"/>
  <c r="Q30" i="14"/>
  <c r="K30" i="14"/>
  <c r="D25" i="13" s="1"/>
  <c r="N42" i="14" s="1"/>
  <c r="C30" i="14"/>
  <c r="H29" i="13" s="1"/>
  <c r="Q29" i="14"/>
  <c r="C29" i="14"/>
  <c r="Q28" i="14"/>
  <c r="Q27" i="14"/>
  <c r="Q26" i="14"/>
  <c r="N26" i="14"/>
  <c r="Q25" i="14"/>
  <c r="Q24" i="14"/>
  <c r="Q23" i="14"/>
  <c r="Q22" i="14"/>
  <c r="Q21" i="14"/>
  <c r="Q20" i="14"/>
  <c r="Q19" i="14"/>
  <c r="Q18" i="14"/>
  <c r="Q17" i="14"/>
  <c r="C17" i="14"/>
  <c r="D27" i="13" s="1"/>
  <c r="Q16" i="14"/>
  <c r="C16" i="14"/>
  <c r="Q15" i="14"/>
  <c r="H15" i="14"/>
  <c r="C15" i="14"/>
  <c r="Q14" i="14"/>
  <c r="H14" i="14"/>
  <c r="H31" i="13" s="1"/>
  <c r="Q13" i="14"/>
  <c r="H13" i="14"/>
  <c r="Q12" i="14"/>
  <c r="C12" i="14"/>
  <c r="H28" i="13" s="1"/>
  <c r="Q11" i="14"/>
  <c r="C11" i="14"/>
  <c r="Q10" i="14"/>
  <c r="C10" i="14"/>
  <c r="Q9" i="14"/>
  <c r="Q8" i="14"/>
  <c r="Q7" i="14"/>
  <c r="C7" i="14"/>
  <c r="H25" i="13" s="1"/>
  <c r="A25" i="14" s="1"/>
  <c r="Q6" i="14"/>
  <c r="Q5" i="14"/>
  <c r="Q4" i="14"/>
  <c r="Q3" i="14"/>
  <c r="D31" i="13"/>
  <c r="D30" i="13"/>
  <c r="F35" i="13"/>
  <c r="A35" i="13"/>
  <c r="D35" i="13" s="1"/>
  <c r="H35" i="13"/>
  <c r="A35" i="14" s="1"/>
  <c r="A31" i="13"/>
  <c r="A39" i="13"/>
  <c r="H39" i="13" s="1"/>
  <c r="A39" i="14" s="1"/>
  <c r="A38" i="13"/>
  <c r="H38" i="13" s="1"/>
  <c r="A38" i="14" s="1"/>
  <c r="D38" i="13"/>
  <c r="A37" i="13"/>
  <c r="D37" i="13"/>
  <c r="H37" i="13"/>
  <c r="A37" i="14" s="1"/>
  <c r="A36" i="13"/>
  <c r="D36" i="13" s="1"/>
  <c r="H36" i="13"/>
  <c r="A36" i="14" s="1"/>
  <c r="A34" i="13"/>
  <c r="H34" i="13" s="1"/>
  <c r="A33" i="13"/>
  <c r="H33" i="13"/>
  <c r="A32" i="13"/>
  <c r="H32" i="13" s="1"/>
  <c r="A32" i="14" s="1"/>
  <c r="H30" i="13"/>
  <c r="A30" i="13"/>
  <c r="A29" i="13"/>
  <c r="A28" i="13"/>
  <c r="A27" i="13"/>
  <c r="A26" i="13"/>
  <c r="H26" i="13" s="1"/>
  <c r="A25" i="13"/>
  <c r="D26" i="13"/>
  <c r="D28" i="13"/>
  <c r="B28" i="13"/>
  <c r="B26" i="13"/>
  <c r="C25" i="13"/>
  <c r="G2" i="13"/>
  <c r="F25" i="13"/>
  <c r="F31" i="13" s="1"/>
  <c r="F37" i="13"/>
  <c r="D15" i="13"/>
  <c r="B25" i="13"/>
  <c r="D14" i="13"/>
  <c r="D13" i="13"/>
  <c r="D16" i="13"/>
  <c r="F38" i="13"/>
  <c r="F32" i="13"/>
  <c r="B31" i="13"/>
  <c r="D33" i="13"/>
  <c r="F27" i="13"/>
  <c r="B27" i="13"/>
  <c r="B29" i="13"/>
  <c r="B30" i="13"/>
  <c r="F36" i="13"/>
  <c r="A31" i="14" l="1"/>
  <c r="D34" i="13"/>
  <c r="F28" i="13"/>
  <c r="A28" i="14" s="1"/>
  <c r="F33" i="13"/>
  <c r="A33" i="14" s="1"/>
  <c r="H27" i="13"/>
  <c r="A27" i="14" s="1"/>
  <c r="N22" i="14"/>
  <c r="D32" i="13"/>
  <c r="F26" i="13"/>
  <c r="A26" i="14" s="1"/>
  <c r="N30" i="14"/>
  <c r="F30" i="13"/>
  <c r="A30" i="14" s="1"/>
  <c r="F34" i="13" l="1"/>
  <c r="A34" i="14" s="1"/>
  <c r="F29" i="13"/>
  <c r="A29" i="14" s="1"/>
  <c r="A40" i="14" s="1"/>
</calcChain>
</file>

<file path=xl/sharedStrings.xml><?xml version="1.0" encoding="utf-8"?>
<sst xmlns="http://schemas.openxmlformats.org/spreadsheetml/2006/main" count="175" uniqueCount="87">
  <si>
    <t>Byggesag:</t>
  </si>
  <si>
    <t>Længde</t>
  </si>
  <si>
    <t>Plan-areal</t>
  </si>
  <si>
    <t>m</t>
  </si>
  <si>
    <t>m²</t>
  </si>
  <si>
    <t>I alt</t>
  </si>
  <si>
    <t>Antal</t>
  </si>
  <si>
    <t>Forhandler:</t>
  </si>
  <si>
    <t>Netto</t>
  </si>
  <si>
    <t>Hovedbygning</t>
  </si>
  <si>
    <t>Termotag</t>
  </si>
  <si>
    <t>Plade</t>
  </si>
  <si>
    <t>Bestillingsliste</t>
  </si>
  <si>
    <t>Stk</t>
  </si>
  <si>
    <t>Silicone klar</t>
  </si>
  <si>
    <t>Termo tagplade</t>
  </si>
  <si>
    <t>TUN-NR</t>
  </si>
  <si>
    <t>Inddækning</t>
  </si>
  <si>
    <t>Ja</t>
  </si>
  <si>
    <t>Nej</t>
  </si>
  <si>
    <t>Inddækningsgummi 250 mm</t>
  </si>
  <si>
    <t>Rulle</t>
  </si>
  <si>
    <t>Emballage</t>
  </si>
  <si>
    <t>Montage</t>
  </si>
  <si>
    <t>Fugeskinne</t>
  </si>
  <si>
    <t>Mrk: Overdækket terrasse</t>
  </si>
  <si>
    <t>Dato:</t>
  </si>
  <si>
    <t>Afstandsliste</t>
  </si>
  <si>
    <t>Samleliste hvid</t>
  </si>
  <si>
    <t>10 mm, 4-lags opal</t>
  </si>
  <si>
    <t>10 mm, 4-lags klar</t>
  </si>
  <si>
    <t>16 mm, 7-lags opal</t>
  </si>
  <si>
    <t>16 mm, 7-lags klar</t>
  </si>
  <si>
    <t>Pris</t>
  </si>
  <si>
    <t>Universalkapsel</t>
  </si>
  <si>
    <t>91 0002</t>
  </si>
  <si>
    <t>felter åben for indtastning</t>
  </si>
  <si>
    <t>Pris excl. moms</t>
  </si>
  <si>
    <t>Indtast navn</t>
  </si>
  <si>
    <t>A 1</t>
  </si>
  <si>
    <t>A 2</t>
  </si>
  <si>
    <t>25 mm, 7-lags klar</t>
  </si>
  <si>
    <t>Plader</t>
  </si>
  <si>
    <t>10 mm</t>
  </si>
  <si>
    <t>10 mm, 4-lags</t>
  </si>
  <si>
    <t>16 mm, 7-lags</t>
  </si>
  <si>
    <t>klar</t>
  </si>
  <si>
    <t>opal</t>
  </si>
  <si>
    <t>Type</t>
  </si>
  <si>
    <t>25 mm, 7-lags</t>
  </si>
  <si>
    <t>Klar</t>
  </si>
  <si>
    <t>Opal</t>
  </si>
  <si>
    <t>16 mm</t>
  </si>
  <si>
    <t>Ikke Lager</t>
  </si>
  <si>
    <t>25 mm</t>
  </si>
  <si>
    <t>Endekap hvid</t>
  </si>
  <si>
    <t>Vandnæse hvid</t>
  </si>
  <si>
    <t>38 mm</t>
  </si>
  <si>
    <t>50 mm</t>
  </si>
  <si>
    <t>Ventilationstape</t>
  </si>
  <si>
    <t>Tilbehør</t>
  </si>
  <si>
    <t>Ekspansionsbånd</t>
  </si>
  <si>
    <t>Selvborende skrue til alu. Bundskinne</t>
  </si>
  <si>
    <t>Montagefuge</t>
  </si>
  <si>
    <t>8,0 m</t>
  </si>
  <si>
    <t>300 ml</t>
  </si>
  <si>
    <t>50 stk./ps.</t>
  </si>
  <si>
    <t>310 ml</t>
  </si>
  <si>
    <t>10,0 m</t>
  </si>
  <si>
    <t>1,0 m</t>
  </si>
  <si>
    <t>Enhed</t>
  </si>
  <si>
    <t>3,0 m</t>
  </si>
  <si>
    <t>3,5 m</t>
  </si>
  <si>
    <t>4,0 m</t>
  </si>
  <si>
    <t>4,5 m</t>
  </si>
  <si>
    <t>5,0 m</t>
  </si>
  <si>
    <t>6,0 m</t>
  </si>
  <si>
    <t>25 mm, 7-lags opal</t>
  </si>
  <si>
    <t>2,1 m</t>
  </si>
  <si>
    <t>3,05 m</t>
  </si>
  <si>
    <t>Toptape u/ vent.</t>
  </si>
  <si>
    <t>Kun Opal</t>
  </si>
  <si>
    <t>Pose</t>
  </si>
  <si>
    <t>Sikringsskruer</t>
  </si>
  <si>
    <t>10 stk./ps.</t>
  </si>
  <si>
    <t>Sikringsskrue til termotag</t>
  </si>
  <si>
    <t>Sikringsskrue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</si>
</sst>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4" fillId="0" borderId="0" xfId="0" applyFont="1"/>
    <xf numFmtId="167" fontId="0" fillId="0" borderId="0" xfId="1" applyNumberFormat="1" applyFont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0" fillId="0" borderId="3" xfId="0" applyFill="1" applyBorder="1"/>
    <xf numFmtId="0" fontId="0" fillId="0" borderId="1" xfId="0" applyFill="1" applyBorder="1"/>
    <xf numFmtId="2" fontId="4" fillId="0" borderId="4" xfId="0" applyNumberFormat="1" applyFont="1" applyFill="1" applyBorder="1" applyAlignment="1">
      <alignment horizontal="left"/>
    </xf>
    <xf numFmtId="0" fontId="4" fillId="0" borderId="4" xfId="0" applyFont="1" applyFill="1" applyBorder="1"/>
    <xf numFmtId="165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0" fontId="4" fillId="0" borderId="7" xfId="0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8" xfId="0" applyFill="1" applyBorder="1"/>
    <xf numFmtId="0" fontId="4" fillId="0" borderId="6" xfId="0" applyFont="1" applyFill="1" applyBorder="1"/>
    <xf numFmtId="0" fontId="2" fillId="0" borderId="4" xfId="0" applyFont="1" applyFill="1" applyBorder="1"/>
    <xf numFmtId="0" fontId="0" fillId="0" borderId="9" xfId="0" applyFill="1" applyBorder="1"/>
    <xf numFmtId="167" fontId="4" fillId="0" borderId="1" xfId="1" applyNumberFormat="1" applyFont="1" applyFill="1" applyBorder="1"/>
    <xf numFmtId="0" fontId="4" fillId="0" borderId="0" xfId="0" applyFont="1" applyFill="1" applyBorder="1"/>
    <xf numFmtId="0" fontId="0" fillId="0" borderId="10" xfId="0" applyFill="1" applyBorder="1"/>
    <xf numFmtId="2" fontId="0" fillId="0" borderId="7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7" fontId="5" fillId="2" borderId="1" xfId="1" applyNumberFormat="1" applyFont="1" applyFill="1" applyBorder="1"/>
    <xf numFmtId="0" fontId="0" fillId="0" borderId="7" xfId="0" applyFill="1" applyBorder="1" applyAlignment="1"/>
    <xf numFmtId="1" fontId="4" fillId="0" borderId="0" xfId="0" applyNumberFormat="1" applyFont="1" applyAlignment="1"/>
    <xf numFmtId="164" fontId="0" fillId="0" borderId="0" xfId="1" applyFont="1"/>
    <xf numFmtId="164" fontId="0" fillId="0" borderId="1" xfId="0" applyNumberFormat="1" applyBorder="1"/>
    <xf numFmtId="2" fontId="3" fillId="3" borderId="3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left"/>
    </xf>
    <xf numFmtId="14" fontId="0" fillId="0" borderId="0" xfId="1" applyNumberFormat="1" applyFont="1"/>
    <xf numFmtId="0" fontId="0" fillId="0" borderId="12" xfId="0" applyFill="1" applyBorder="1" applyAlignment="1">
      <alignment horizontal="center"/>
    </xf>
    <xf numFmtId="165" fontId="1" fillId="0" borderId="0" xfId="0" applyNumberFormat="1" applyFont="1" applyFill="1" applyBorder="1"/>
    <xf numFmtId="2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/>
    </xf>
    <xf numFmtId="0" fontId="0" fillId="0" borderId="0" xfId="0" applyAlignment="1">
      <alignment horizontal="right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64" fontId="4" fillId="0" borderId="1" xfId="1" applyFont="1" applyBorder="1"/>
    <xf numFmtId="164" fontId="0" fillId="0" borderId="1" xfId="1" applyFont="1" applyBorder="1"/>
    <xf numFmtId="0" fontId="4" fillId="4" borderId="1" xfId="0" applyFont="1" applyFill="1" applyBorder="1"/>
    <xf numFmtId="2" fontId="7" fillId="0" borderId="0" xfId="0" applyNumberFormat="1" applyFont="1" applyFill="1" applyBorder="1" applyAlignment="1"/>
    <xf numFmtId="0" fontId="3" fillId="0" borderId="0" xfId="0" applyFont="1" applyFill="1" applyBorder="1" applyAlignment="1" applyProtection="1">
      <alignment horizontal="left"/>
      <protection locked="0"/>
    </xf>
    <xf numFmtId="2" fontId="7" fillId="0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right"/>
    </xf>
    <xf numFmtId="0" fontId="0" fillId="5" borderId="1" xfId="0" applyFill="1" applyBorder="1"/>
    <xf numFmtId="165" fontId="0" fillId="6" borderId="1" xfId="0" applyNumberFormat="1" applyFill="1" applyBorder="1"/>
    <xf numFmtId="0" fontId="4" fillId="4" borderId="0" xfId="0" applyFont="1" applyFill="1" applyBorder="1"/>
    <xf numFmtId="164" fontId="0" fillId="0" borderId="1" xfId="1" applyFont="1" applyFill="1" applyBorder="1"/>
    <xf numFmtId="0" fontId="0" fillId="0" borderId="8" xfId="0" applyBorder="1"/>
    <xf numFmtId="165" fontId="0" fillId="0" borderId="1" xfId="0" applyNumberFormat="1" applyBorder="1" applyAlignment="1">
      <alignment horizontal="center"/>
    </xf>
    <xf numFmtId="167" fontId="0" fillId="0" borderId="0" xfId="0" applyNumberFormat="1" applyAlignment="1"/>
    <xf numFmtId="167" fontId="0" fillId="0" borderId="0" xfId="0" applyNumberFormat="1" applyFill="1" applyAlignment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164" fontId="0" fillId="0" borderId="1" xfId="1" applyFont="1" applyFill="1" applyBorder="1" applyAlignment="1">
      <alignment horizontal="center" vertical="center"/>
    </xf>
    <xf numFmtId="0" fontId="0" fillId="0" borderId="1" xfId="0" applyNumberFormat="1" applyFill="1" applyBorder="1"/>
    <xf numFmtId="0" fontId="4" fillId="0" borderId="0" xfId="0" applyFont="1" applyBorder="1"/>
    <xf numFmtId="164" fontId="0" fillId="0" borderId="0" xfId="1" applyFont="1" applyBorder="1"/>
    <xf numFmtId="0" fontId="0" fillId="0" borderId="1" xfId="0" applyBorder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49" fontId="0" fillId="6" borderId="1" xfId="0" applyNumberFormat="1" applyFill="1" applyBorder="1"/>
    <xf numFmtId="49" fontId="0" fillId="0" borderId="0" xfId="0" applyNumberFormat="1" applyBorder="1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NumberFormat="1"/>
    <xf numFmtId="49" fontId="0" fillId="0" borderId="1" xfId="0" applyNumberForma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167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164" fontId="6" fillId="2" borderId="1" xfId="1" applyFont="1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64" fontId="0" fillId="0" borderId="13" xfId="1" applyFont="1" applyFill="1" applyBorder="1"/>
    <xf numFmtId="164" fontId="4" fillId="0" borderId="0" xfId="1" applyFont="1" applyAlignment="1">
      <alignment horizontal="right"/>
    </xf>
    <xf numFmtId="164" fontId="0" fillId="0" borderId="13" xfId="1" applyFont="1" applyFill="1" applyBorder="1" applyAlignment="1">
      <alignment horizontal="right"/>
    </xf>
    <xf numFmtId="0" fontId="0" fillId="0" borderId="0" xfId="0" applyFont="1" applyFill="1" applyBorder="1"/>
    <xf numFmtId="0" fontId="0" fillId="2" borderId="9" xfId="0" applyFill="1" applyBorder="1"/>
    <xf numFmtId="0" fontId="4" fillId="2" borderId="9" xfId="0" applyFont="1" applyFill="1" applyBorder="1"/>
    <xf numFmtId="0" fontId="0" fillId="2" borderId="9" xfId="0" applyNumberFormat="1" applyFill="1" applyBorder="1"/>
    <xf numFmtId="0" fontId="0" fillId="2" borderId="9" xfId="0" applyNumberFormat="1" applyFill="1" applyBorder="1" applyAlignment="1">
      <alignment horizontal="right"/>
    </xf>
    <xf numFmtId="0" fontId="0" fillId="0" borderId="14" xfId="0" applyFill="1" applyBorder="1"/>
    <xf numFmtId="167" fontId="5" fillId="2" borderId="4" xfId="1" applyNumberFormat="1" applyFont="1" applyFill="1" applyBorder="1"/>
    <xf numFmtId="43" fontId="0" fillId="0" borderId="0" xfId="0" applyNumberFormat="1"/>
    <xf numFmtId="167" fontId="5" fillId="2" borderId="6" xfId="1" applyNumberFormat="1" applyFont="1" applyFill="1" applyBorder="1"/>
    <xf numFmtId="0" fontId="4" fillId="2" borderId="15" xfId="0" applyFont="1" applyFill="1" applyBorder="1"/>
    <xf numFmtId="0" fontId="0" fillId="2" borderId="4" xfId="0" applyFill="1" applyBorder="1"/>
    <xf numFmtId="0" fontId="0" fillId="2" borderId="1" xfId="0" applyNumberFormat="1" applyFill="1" applyBorder="1"/>
    <xf numFmtId="0" fontId="4" fillId="2" borderId="8" xfId="0" applyFont="1" applyFill="1" applyBorder="1"/>
    <xf numFmtId="0" fontId="0" fillId="2" borderId="9" xfId="0" applyFill="1" applyBorder="1" applyAlignment="1">
      <alignment horizontal="right"/>
    </xf>
    <xf numFmtId="0" fontId="3" fillId="3" borderId="16" xfId="0" applyFont="1" applyFill="1" applyBorder="1" applyAlignment="1" applyProtection="1">
      <alignment horizontal="left"/>
      <protection locked="0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/>
      <protection locked="0"/>
    </xf>
    <xf numFmtId="0" fontId="4" fillId="0" borderId="1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4" fontId="0" fillId="0" borderId="0" xfId="0" applyNumberFormat="1" applyFill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8</xdr:row>
      <xdr:rowOff>142875</xdr:rowOff>
    </xdr:from>
    <xdr:to>
      <xdr:col>9</xdr:col>
      <xdr:colOff>85725</xdr:colOff>
      <xdr:row>17</xdr:row>
      <xdr:rowOff>85725</xdr:rowOff>
    </xdr:to>
    <xdr:pic>
      <xdr:nvPicPr>
        <xdr:cNvPr id="1206" name="Billede 1" descr="Term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1971675"/>
          <a:ext cx="261937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209550</xdr:rowOff>
    </xdr:from>
    <xdr:to>
      <xdr:col>9</xdr:col>
      <xdr:colOff>66675</xdr:colOff>
      <xdr:row>21</xdr:row>
      <xdr:rowOff>190500</xdr:rowOff>
    </xdr:to>
    <xdr:pic>
      <xdr:nvPicPr>
        <xdr:cNvPr id="1207" name="Billede 2" descr="Termo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095750"/>
          <a:ext cx="56864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showGridLines="0" tabSelected="1" workbookViewId="0">
      <selection activeCell="I7" sqref="I7"/>
    </sheetView>
  </sheetViews>
  <sheetFormatPr defaultRowHeight="12.75" x14ac:dyDescent="0.2"/>
  <cols>
    <col min="1" max="1" width="13.85546875" customWidth="1"/>
    <col min="2" max="2" width="12.28515625" style="2" customWidth="1"/>
    <col min="3" max="3" width="7.28515625" style="1" customWidth="1"/>
    <col min="4" max="4" width="8.85546875" style="1" customWidth="1"/>
    <col min="5" max="5" width="10.42578125" style="1" customWidth="1"/>
    <col min="6" max="6" width="8.140625" style="1" customWidth="1"/>
    <col min="7" max="7" width="4.85546875" customWidth="1"/>
    <col min="8" max="8" width="9.42578125" customWidth="1"/>
  </cols>
  <sheetData>
    <row r="1" spans="1:8" ht="18" customHeight="1" x14ac:dyDescent="0.2">
      <c r="A1" s="13"/>
      <c r="B1" s="14"/>
      <c r="C1" s="15"/>
      <c r="D1" s="15"/>
      <c r="E1" s="15"/>
      <c r="F1" s="15"/>
      <c r="G1" s="16"/>
      <c r="H1" s="4"/>
    </row>
    <row r="2" spans="1:8" ht="18" customHeight="1" x14ac:dyDescent="0.2">
      <c r="A2" s="13" t="s">
        <v>7</v>
      </c>
      <c r="B2" s="142" t="s">
        <v>38</v>
      </c>
      <c r="C2" s="143"/>
      <c r="D2" s="143"/>
      <c r="E2" s="144"/>
      <c r="F2" s="49" t="s">
        <v>26</v>
      </c>
      <c r="G2" s="150">
        <f ca="1">TODAY()</f>
        <v>41091</v>
      </c>
      <c r="H2" s="150"/>
    </row>
    <row r="3" spans="1:8" ht="18" customHeight="1" x14ac:dyDescent="0.2">
      <c r="A3" s="13" t="s">
        <v>0</v>
      </c>
      <c r="B3" s="145" t="s">
        <v>25</v>
      </c>
      <c r="C3" s="146"/>
      <c r="D3" s="146"/>
      <c r="E3" s="147"/>
      <c r="F3" s="15"/>
      <c r="G3" s="16"/>
      <c r="H3" s="4"/>
    </row>
    <row r="4" spans="1:8" ht="18" customHeight="1" x14ac:dyDescent="0.2">
      <c r="A4" s="13"/>
      <c r="B4" s="84"/>
      <c r="C4" s="84"/>
      <c r="D4" s="84"/>
      <c r="E4" s="84"/>
      <c r="F4" s="15"/>
      <c r="G4" s="16"/>
      <c r="H4" s="4"/>
    </row>
    <row r="5" spans="1:8" ht="18" customHeight="1" x14ac:dyDescent="0.2">
      <c r="A5" s="18" t="s">
        <v>11</v>
      </c>
      <c r="B5" s="79" t="s">
        <v>44</v>
      </c>
      <c r="C5" s="17"/>
      <c r="D5" s="17"/>
      <c r="E5" s="17"/>
      <c r="F5" s="15"/>
      <c r="G5" s="16"/>
      <c r="H5" s="4"/>
    </row>
    <row r="6" spans="1:8" ht="18" customHeight="1" x14ac:dyDescent="0.2">
      <c r="A6" s="45" t="s">
        <v>48</v>
      </c>
      <c r="B6" s="79" t="s">
        <v>51</v>
      </c>
      <c r="D6" s="17"/>
      <c r="E6" s="60"/>
      <c r="F6" s="148" t="s">
        <v>36</v>
      </c>
      <c r="G6" s="149"/>
      <c r="H6" s="149"/>
    </row>
    <row r="7" spans="1:8" ht="18" customHeight="1" x14ac:dyDescent="0.2">
      <c r="A7" s="45" t="s">
        <v>17</v>
      </c>
      <c r="B7" s="86" t="s">
        <v>19</v>
      </c>
      <c r="C7" s="83"/>
      <c r="D7" s="15"/>
      <c r="E7" s="17"/>
      <c r="F7" s="15"/>
      <c r="G7" s="16"/>
      <c r="H7" s="4"/>
    </row>
    <row r="8" spans="1:8" ht="18" customHeight="1" x14ac:dyDescent="0.2">
      <c r="A8" s="45" t="s">
        <v>83</v>
      </c>
      <c r="B8" s="86" t="s">
        <v>19</v>
      </c>
      <c r="C8" s="83"/>
      <c r="D8" s="15"/>
      <c r="E8" s="15"/>
      <c r="F8" s="15"/>
      <c r="G8" s="23"/>
      <c r="H8" s="4"/>
    </row>
    <row r="9" spans="1:8" ht="18" customHeight="1" x14ac:dyDescent="0.2">
      <c r="C9" s="15"/>
      <c r="D9" s="15"/>
      <c r="E9" s="15"/>
      <c r="F9" s="15"/>
      <c r="G9" s="23"/>
      <c r="H9" s="4"/>
    </row>
    <row r="10" spans="1:8" ht="18" customHeight="1" x14ac:dyDescent="0.2">
      <c r="A10" s="13"/>
      <c r="B10" s="14"/>
      <c r="C10" s="15"/>
      <c r="D10" s="15"/>
      <c r="E10" s="4"/>
      <c r="F10" s="15"/>
      <c r="G10" s="23"/>
      <c r="H10" s="4"/>
    </row>
    <row r="11" spans="1:8" ht="18" customHeight="1" x14ac:dyDescent="0.2">
      <c r="A11" s="156" t="s">
        <v>10</v>
      </c>
      <c r="B11" s="28" t="s">
        <v>40</v>
      </c>
      <c r="C11" s="24" t="s">
        <v>39</v>
      </c>
      <c r="D11" s="25" t="s">
        <v>2</v>
      </c>
      <c r="E11" s="62"/>
      <c r="F11" s="4"/>
      <c r="G11" s="6"/>
      <c r="H11" s="12"/>
    </row>
    <row r="12" spans="1:8" ht="18" customHeight="1" thickBot="1" x14ac:dyDescent="0.25">
      <c r="A12" s="157"/>
      <c r="B12" s="32" t="s">
        <v>3</v>
      </c>
      <c r="C12" s="5" t="s">
        <v>3</v>
      </c>
      <c r="D12" s="26" t="s">
        <v>4</v>
      </c>
      <c r="E12" s="62"/>
      <c r="F12" s="4"/>
      <c r="G12" s="63"/>
      <c r="H12" s="6"/>
    </row>
    <row r="13" spans="1:8" ht="18" customHeight="1" thickTop="1" x14ac:dyDescent="0.2">
      <c r="A13" s="19" t="s">
        <v>9</v>
      </c>
      <c r="B13" s="59">
        <v>7</v>
      </c>
      <c r="C13" s="59">
        <v>6</v>
      </c>
      <c r="D13" s="27">
        <f>B13*C13</f>
        <v>42</v>
      </c>
      <c r="E13" s="66"/>
      <c r="F13" s="64"/>
      <c r="G13" s="158"/>
      <c r="H13" s="158"/>
    </row>
    <row r="14" spans="1:8" ht="18" customHeight="1" x14ac:dyDescent="0.2">
      <c r="A14" s="19"/>
      <c r="B14" s="33"/>
      <c r="C14" s="34"/>
      <c r="D14" s="29">
        <f>B14*C14</f>
        <v>0</v>
      </c>
      <c r="E14" s="67"/>
      <c r="F14" s="64"/>
      <c r="G14" s="158"/>
      <c r="H14" s="158"/>
    </row>
    <row r="15" spans="1:8" ht="18" customHeight="1" x14ac:dyDescent="0.2">
      <c r="A15" s="19"/>
      <c r="B15" s="33"/>
      <c r="C15" s="34"/>
      <c r="D15" s="27">
        <f>B15*C15</f>
        <v>0</v>
      </c>
      <c r="E15" s="67"/>
      <c r="F15" s="64"/>
      <c r="G15" s="158"/>
      <c r="H15" s="158"/>
    </row>
    <row r="16" spans="1:8" ht="18" customHeight="1" x14ac:dyDescent="0.2">
      <c r="A16" s="20" t="s">
        <v>5</v>
      </c>
      <c r="B16" s="28"/>
      <c r="C16" s="30" t="s">
        <v>4</v>
      </c>
      <c r="D16" s="31">
        <f>SUM(D13:D15)</f>
        <v>42</v>
      </c>
      <c r="E16" s="62"/>
      <c r="F16" s="4"/>
      <c r="G16" s="65"/>
      <c r="H16" s="12"/>
    </row>
    <row r="17" spans="1:8" ht="18" customHeight="1" x14ac:dyDescent="0.2">
      <c r="A17" s="13"/>
      <c r="B17" s="14"/>
      <c r="C17" s="151" t="s">
        <v>8</v>
      </c>
      <c r="D17" s="152"/>
      <c r="E17" s="62"/>
      <c r="F17" s="4"/>
      <c r="G17" s="159"/>
      <c r="H17" s="159"/>
    </row>
    <row r="18" spans="1:8" ht="18" customHeight="1" x14ac:dyDescent="0.2">
      <c r="A18" s="13"/>
      <c r="B18" s="14"/>
      <c r="C18" s="71"/>
      <c r="D18" s="71"/>
      <c r="E18" s="4"/>
      <c r="F18" s="4"/>
      <c r="G18" s="71"/>
      <c r="H18" s="71"/>
    </row>
    <row r="19" spans="1:8" ht="18" customHeight="1" x14ac:dyDescent="0.2">
      <c r="A19" s="160"/>
      <c r="B19" s="160"/>
      <c r="C19" s="160"/>
      <c r="D19" s="160"/>
      <c r="E19" s="73"/>
      <c r="F19" s="73"/>
      <c r="G19" s="73"/>
      <c r="H19" s="73"/>
    </row>
    <row r="20" spans="1:8" ht="18" customHeight="1" x14ac:dyDescent="0.2">
      <c r="A20" s="155"/>
      <c r="B20" s="155"/>
      <c r="C20" s="155"/>
      <c r="D20" s="155"/>
      <c r="E20" s="73"/>
      <c r="F20" s="73"/>
      <c r="G20" s="73"/>
      <c r="H20" s="73"/>
    </row>
    <row r="21" spans="1:8" ht="18" customHeight="1" x14ac:dyDescent="0.2">
      <c r="A21" s="155"/>
      <c r="B21" s="155"/>
      <c r="C21" s="155"/>
      <c r="D21" s="155"/>
      <c r="E21" s="72"/>
      <c r="F21" s="4"/>
      <c r="G21" s="71"/>
      <c r="H21" s="71"/>
    </row>
    <row r="22" spans="1:8" ht="18" customHeight="1" x14ac:dyDescent="0.2">
      <c r="A22" s="75"/>
      <c r="B22" s="76"/>
      <c r="C22" s="77"/>
      <c r="D22" s="77"/>
      <c r="E22" s="75"/>
      <c r="F22" s="75"/>
      <c r="G22" s="77"/>
      <c r="H22" s="77"/>
    </row>
    <row r="23" spans="1:8" ht="18" customHeight="1" x14ac:dyDescent="0.2">
      <c r="A23" s="13"/>
      <c r="B23" s="14"/>
      <c r="C23" s="15"/>
      <c r="D23" s="15"/>
      <c r="E23" s="15"/>
      <c r="F23" s="15"/>
      <c r="G23" s="13"/>
      <c r="H23" s="13"/>
    </row>
    <row r="24" spans="1:8" ht="18" customHeight="1" x14ac:dyDescent="0.2">
      <c r="A24" s="42" t="s">
        <v>12</v>
      </c>
      <c r="B24" s="36"/>
      <c r="C24" s="36"/>
      <c r="D24" s="37" t="s">
        <v>70</v>
      </c>
      <c r="E24" s="36"/>
      <c r="F24" s="46"/>
      <c r="G24" s="133"/>
      <c r="H24" s="44" t="s">
        <v>16</v>
      </c>
    </row>
    <row r="25" spans="1:8" ht="17.25" customHeight="1" x14ac:dyDescent="0.2">
      <c r="A25" s="21" t="str">
        <f>'Ark1'!Q1</f>
        <v>Termo tagplade</v>
      </c>
      <c r="B25" s="55" t="str">
        <f>B5</f>
        <v>10 mm, 4-lags</v>
      </c>
      <c r="C25" s="55" t="str">
        <f>B6</f>
        <v>Opal</v>
      </c>
      <c r="D25" s="47">
        <f>'Ark1'!K30</f>
        <v>6</v>
      </c>
      <c r="E25" s="37" t="s">
        <v>3</v>
      </c>
      <c r="F25" s="134">
        <f>'Ark1'!K31</f>
        <v>7</v>
      </c>
      <c r="G25" s="130" t="s">
        <v>13</v>
      </c>
      <c r="H25" s="141">
        <f>INDEX('Ark1'!I4:O9,MATCH('Ark1'!C7,'Ark1'!H4:H9,0),MATCH('Ark1'!K30,'Ark1'!I3:O3,0))</f>
        <v>5225396</v>
      </c>
    </row>
    <row r="26" spans="1:8" ht="18" customHeight="1" x14ac:dyDescent="0.2">
      <c r="A26" s="22" t="str">
        <f>'Ark1'!C19</f>
        <v>Samleliste hvid</v>
      </c>
      <c r="B26" s="55" t="str">
        <f>B5</f>
        <v>10 mm, 4-lags</v>
      </c>
      <c r="C26" s="55"/>
      <c r="D26" s="47">
        <f>'Ark1'!K30</f>
        <v>6</v>
      </c>
      <c r="E26" s="37" t="s">
        <v>3</v>
      </c>
      <c r="F26" s="134">
        <f>F25+1</f>
        <v>8</v>
      </c>
      <c r="G26" s="130" t="s">
        <v>13</v>
      </c>
      <c r="H26" s="129">
        <f>INDEX('Ark1'!I4:O10,MATCH(A26,'Ark1'!H4:H10,0),MATCH('Ark1'!K30,'Ark1'!I3:O3,0))</f>
        <v>5908557</v>
      </c>
    </row>
    <row r="27" spans="1:8" ht="18" customHeight="1" x14ac:dyDescent="0.2">
      <c r="A27" s="22" t="str">
        <f>'Ark1'!C14</f>
        <v>Afstandsliste</v>
      </c>
      <c r="B27" s="118" t="str">
        <f>VLOOKUP($B$5,'Ark1'!C15:F17,4)</f>
        <v>10 mm</v>
      </c>
      <c r="C27" s="118"/>
      <c r="D27" s="118" t="str">
        <f>VLOOKUP($B$5,'Ark1'!C15:G17,5)</f>
        <v>3,05 m</v>
      </c>
      <c r="E27" s="55"/>
      <c r="F27" s="134">
        <f>ROUNDUP(((D26*2)/3.05),0)</f>
        <v>4</v>
      </c>
      <c r="G27" s="130" t="s">
        <v>13</v>
      </c>
      <c r="H27" s="130">
        <f>VLOOKUP(B5,'Ark1'!C15:E17,2)</f>
        <v>5600364</v>
      </c>
    </row>
    <row r="28" spans="1:8" ht="18" customHeight="1" x14ac:dyDescent="0.2">
      <c r="A28" s="22" t="str">
        <f>'Ark1'!C9</f>
        <v>Vandnæse hvid</v>
      </c>
      <c r="B28" s="118" t="str">
        <f>VLOOKUP($B$5,'Ark1'!C10:F12,4)</f>
        <v>10 mm</v>
      </c>
      <c r="C28" s="118"/>
      <c r="D28" s="118" t="str">
        <f>VLOOKUP($B$5,'Ark1'!C10:G12,5)</f>
        <v>2,1 m</v>
      </c>
      <c r="E28" s="55"/>
      <c r="F28" s="134">
        <f>ROUNDUP(((F25*1.05)/2.1),0)</f>
        <v>4</v>
      </c>
      <c r="G28" s="130" t="s">
        <v>13</v>
      </c>
      <c r="H28" s="130">
        <f>VLOOKUP(B5,'Ark1'!C10:D12,2)</f>
        <v>5908572</v>
      </c>
    </row>
    <row r="29" spans="1:8" ht="18" customHeight="1" x14ac:dyDescent="0.2">
      <c r="A29" s="41" t="str">
        <f>'Ark1'!C28</f>
        <v>Endekap hvid</v>
      </c>
      <c r="B29" s="118" t="str">
        <f>VLOOKUP($B$5,'Ark1'!C29:F31,4)</f>
        <v>10 mm</v>
      </c>
      <c r="C29" s="118"/>
      <c r="D29" s="118"/>
      <c r="E29" s="40"/>
      <c r="F29" s="134">
        <f>F26</f>
        <v>8</v>
      </c>
      <c r="G29" s="130" t="s">
        <v>13</v>
      </c>
      <c r="H29" s="130">
        <f>VLOOKUP(B5,'Ark1'!C29:D31,2)</f>
        <v>5600368</v>
      </c>
    </row>
    <row r="30" spans="1:8" ht="18" customHeight="1" x14ac:dyDescent="0.2">
      <c r="A30" s="22" t="str">
        <f>'Ark1'!C33</f>
        <v>Toptape u/ vent.</v>
      </c>
      <c r="B30" s="118" t="str">
        <f>VLOOKUP($B$5,'Ark1'!C34:F36,4)</f>
        <v>38 mm</v>
      </c>
      <c r="C30" s="118"/>
      <c r="D30" s="118" t="str">
        <f>VLOOKUP($B$5,'Ark1'!C34:G36,5)</f>
        <v>10,0 m</v>
      </c>
      <c r="E30" s="36"/>
      <c r="F30" s="134">
        <f>ROUNDUP(((F25*1)/10),0)</f>
        <v>1</v>
      </c>
      <c r="G30" s="130" t="s">
        <v>21</v>
      </c>
      <c r="H30" s="130">
        <f>VLOOKUP(B5,'Ark1'!C34:D36,2)</f>
        <v>5600369</v>
      </c>
    </row>
    <row r="31" spans="1:8" ht="18" customHeight="1" x14ac:dyDescent="0.2">
      <c r="A31" s="22" t="str">
        <f>'Ark1'!H12</f>
        <v>Ventilationstape</v>
      </c>
      <c r="B31" s="118" t="str">
        <f>VLOOKUP($B$5,'Ark1'!H13:K15,4)</f>
        <v>38 mm</v>
      </c>
      <c r="D31" s="118" t="str">
        <f>VLOOKUP($B$5,'Ark1'!H13:L15,5)</f>
        <v>10,0 m</v>
      </c>
      <c r="E31" s="36"/>
      <c r="F31" s="134">
        <f>ROUNDUP(((F25*1)/10),0)</f>
        <v>1</v>
      </c>
      <c r="G31" s="130" t="s">
        <v>21</v>
      </c>
      <c r="H31" s="130">
        <f>VLOOKUP(B5,'Ark1'!H13:I15,2)</f>
        <v>5908576</v>
      </c>
    </row>
    <row r="32" spans="1:8" ht="18" customHeight="1" x14ac:dyDescent="0.2">
      <c r="A32" s="22" t="str">
        <f>'Ark1'!H18</f>
        <v>Ekspansionsbånd</v>
      </c>
      <c r="B32" s="36"/>
      <c r="C32" s="36"/>
      <c r="D32" s="118" t="str">
        <f>HLOOKUP(A32,'Ark1'!$H$18:$K$26,1)</f>
        <v>8,0 m</v>
      </c>
      <c r="E32" s="36"/>
      <c r="F32" s="134">
        <f>ROUNDUP(((F25*1)/8),0)</f>
        <v>1</v>
      </c>
      <c r="G32" s="130" t="s">
        <v>21</v>
      </c>
      <c r="H32" s="131">
        <f>INDEX('Ark1'!$H$18:$I$26,MATCH(A32,'Ark1'!$H$18:$H$26,0),MATCH($H$24,'Ark1'!$H$17:$I$17,0))</f>
        <v>5600370</v>
      </c>
    </row>
    <row r="33" spans="1:8" ht="18" customHeight="1" x14ac:dyDescent="0.2">
      <c r="A33" s="22" t="str">
        <f>'Ark1'!H19</f>
        <v>Silicone klar</v>
      </c>
      <c r="B33" s="36"/>
      <c r="C33" s="36"/>
      <c r="D33" s="118" t="str">
        <f>HLOOKUP(A33,'Ark1'!$H$18:$K$26,2)</f>
        <v>300 ml</v>
      </c>
      <c r="E33" s="36"/>
      <c r="F33" s="134">
        <f>ROUNDUP(((F25*1.05)/12),0)</f>
        <v>1</v>
      </c>
      <c r="G33" s="130" t="s">
        <v>13</v>
      </c>
      <c r="H33" s="131">
        <f>INDEX('Ark1'!$H$18:$I$26,MATCH(A33,'Ark1'!$H$18:$H$26,0),MATCH($H$24,'Ark1'!$H$17:$I$17,0))</f>
        <v>5600371</v>
      </c>
    </row>
    <row r="34" spans="1:8" ht="18" customHeight="1" x14ac:dyDescent="0.2">
      <c r="A34" s="22" t="str">
        <f>'Ark1'!H20</f>
        <v>Selvborende skrue til alu. Bundskinne</v>
      </c>
      <c r="B34" s="36"/>
      <c r="C34" s="36"/>
      <c r="D34" s="70" t="str">
        <f>HLOOKUP(A34,'Ark1'!$H$18:$K$26,3)</f>
        <v>50 stk./ps.</v>
      </c>
      <c r="E34" s="43"/>
      <c r="F34" s="134">
        <f>ROUNDUP((((F26*D26)/0.25)/50),0)</f>
        <v>4</v>
      </c>
      <c r="G34" s="130" t="s">
        <v>82</v>
      </c>
      <c r="H34" s="131">
        <f>INDEX('Ark1'!$H$18:$I$26,MATCH(A34,'Ark1'!$H$18:$H$26,0),MATCH($H$24,'Ark1'!$H$17:$I$17,0))</f>
        <v>5600372</v>
      </c>
    </row>
    <row r="35" spans="1:8" ht="18" customHeight="1" x14ac:dyDescent="0.2">
      <c r="A35" s="22" t="str">
        <f>'Ark1'!H21</f>
        <v>Sikringsskrue til termotag</v>
      </c>
      <c r="D35" s="118" t="str">
        <f>HLOOKUP(A35,'Ark1'!$H$18:$K$26,4)</f>
        <v>10 stk./ps.</v>
      </c>
      <c r="F35" s="136">
        <f>IF(B8="ja",'Ark1'!N42,'Ark1'!N43)</f>
        <v>0</v>
      </c>
      <c r="G35" s="140" t="s">
        <v>82</v>
      </c>
      <c r="H35" s="139">
        <f>INDEX('Ark1'!$H$18:$I$26,MATCH(A35,'Ark1'!$H$18:$H$26,0),MATCH($H$24,'Ark1'!$H$17:$I$17,0))</f>
        <v>5261181</v>
      </c>
    </row>
    <row r="36" spans="1:8" ht="18" customHeight="1" x14ac:dyDescent="0.2">
      <c r="A36" s="22" t="str">
        <f>'Ark1'!H22</f>
        <v>Inddækningsgummi 250 mm</v>
      </c>
      <c r="B36" s="47"/>
      <c r="C36" s="35"/>
      <c r="D36" s="118" t="str">
        <f>HLOOKUP(A36,'Ark1'!$H$18:$K$26,5)</f>
        <v>10,0 m</v>
      </c>
      <c r="E36" s="35"/>
      <c r="F36" s="136">
        <f>IF(B7="ja",'Ark1'!N22,'Ark1'!N23)</f>
        <v>0</v>
      </c>
      <c r="G36" s="137" t="s">
        <v>13</v>
      </c>
      <c r="H36" s="131">
        <f>INDEX('Ark1'!$H$18:$I$26,MATCH(A36,'Ark1'!$H$18:$H$26,0),MATCH($H$24,'Ark1'!$H$17:$I$17,0))</f>
        <v>5600373</v>
      </c>
    </row>
    <row r="37" spans="1:8" ht="18" customHeight="1" x14ac:dyDescent="0.2">
      <c r="A37" s="22" t="str">
        <f>'Ark1'!H23</f>
        <v>Montagefuge</v>
      </c>
      <c r="B37" s="47"/>
      <c r="C37" s="35"/>
      <c r="D37" s="118" t="str">
        <f>HLOOKUP(A37,'Ark1'!$H$18:$K$26,6)</f>
        <v>310 ml</v>
      </c>
      <c r="E37" s="35"/>
      <c r="F37" s="134">
        <f>IF(B7="ja",'Ark1'!N26,'Ark1'!N27)</f>
        <v>0</v>
      </c>
      <c r="G37" s="130" t="s">
        <v>13</v>
      </c>
      <c r="H37" s="131">
        <f>INDEX('Ark1'!$H$18:$I$26,MATCH(A37,'Ark1'!$H$18:$H$26,0),MATCH($H$24,'Ark1'!$H$17:$I$17,0))</f>
        <v>5248358</v>
      </c>
    </row>
    <row r="38" spans="1:8" ht="18" customHeight="1" x14ac:dyDescent="0.2">
      <c r="A38" s="22" t="str">
        <f>'Ark1'!H24</f>
        <v>Fugeskinne</v>
      </c>
      <c r="B38" s="47"/>
      <c r="C38" s="35"/>
      <c r="D38" s="118" t="str">
        <f>HLOOKUP(A38,'Ark1'!$H$18:$K$26,7)</f>
        <v>1,0 m</v>
      </c>
      <c r="E38" s="35"/>
      <c r="F38" s="134">
        <f>IF(B7="ja",'Ark1'!N30,'Ark1'!N31)</f>
        <v>0</v>
      </c>
      <c r="G38" s="130" t="s">
        <v>13</v>
      </c>
      <c r="H38" s="131">
        <f>INDEX('Ark1'!$H$18:$I$26,MATCH(A38,'Ark1'!$H$18:$H$26,0),MATCH($H$24,'Ark1'!$H$17:$I$17,0))</f>
        <v>5600376</v>
      </c>
    </row>
    <row r="39" spans="1:8" ht="18" customHeight="1" x14ac:dyDescent="0.2">
      <c r="A39" s="22" t="str">
        <f>'Ark1'!H26</f>
        <v>Emballage</v>
      </c>
      <c r="B39" s="47"/>
      <c r="C39" s="35"/>
      <c r="D39" s="96"/>
      <c r="E39" s="35"/>
      <c r="F39" s="134">
        <v>1</v>
      </c>
      <c r="G39" s="130" t="s">
        <v>13</v>
      </c>
      <c r="H39" s="132" t="str">
        <f>INDEX('Ark1'!$H$18:$I$26,MATCH(A39,'Ark1'!$H$18:$H$26,0),MATCH($H$24,'Ark1'!$H$17:$I$17,0))</f>
        <v>91 0002</v>
      </c>
    </row>
    <row r="40" spans="1:8" ht="18" customHeight="1" x14ac:dyDescent="0.2">
      <c r="A40" s="22" t="s">
        <v>37</v>
      </c>
      <c r="B40" s="69"/>
      <c r="C40" s="70"/>
      <c r="D40" s="70"/>
      <c r="E40" s="70"/>
      <c r="F40" s="118"/>
      <c r="G40" s="96"/>
      <c r="H40" s="43"/>
    </row>
    <row r="41" spans="1:8" ht="18" customHeight="1" x14ac:dyDescent="0.2">
      <c r="H41" s="13"/>
    </row>
    <row r="42" spans="1:8" ht="18" customHeight="1" x14ac:dyDescent="0.2">
      <c r="H42" s="13"/>
    </row>
    <row r="43" spans="1:8" ht="18" customHeight="1" x14ac:dyDescent="0.2"/>
    <row r="44" spans="1:8" ht="18" customHeight="1" x14ac:dyDescent="0.2"/>
    <row r="45" spans="1:8" ht="18" customHeight="1" x14ac:dyDescent="0.2"/>
    <row r="46" spans="1:8" ht="18" customHeight="1" x14ac:dyDescent="0.2"/>
    <row r="47" spans="1:8" ht="18" customHeight="1" x14ac:dyDescent="0.2"/>
    <row r="54" spans="1:3" customFormat="1" x14ac:dyDescent="0.2">
      <c r="A54" s="10"/>
      <c r="B54" s="153"/>
      <c r="C54" s="154"/>
    </row>
    <row r="55" spans="1:3" customFormat="1" x14ac:dyDescent="0.2">
      <c r="B55" s="56"/>
      <c r="C55" s="56"/>
    </row>
    <row r="56" spans="1:3" customFormat="1" x14ac:dyDescent="0.2">
      <c r="B56" s="56"/>
      <c r="C56" s="56"/>
    </row>
    <row r="57" spans="1:3" customFormat="1" x14ac:dyDescent="0.2">
      <c r="B57" s="56"/>
      <c r="C57" s="56"/>
    </row>
    <row r="58" spans="1:3" customFormat="1" x14ac:dyDescent="0.2">
      <c r="B58" s="56"/>
      <c r="C58" s="56"/>
    </row>
    <row r="59" spans="1:3" customFormat="1" x14ac:dyDescent="0.2">
      <c r="B59" s="56"/>
      <c r="C59" s="56"/>
    </row>
    <row r="60" spans="1:3" customFormat="1" x14ac:dyDescent="0.2">
      <c r="B60" s="56"/>
      <c r="C60" s="56"/>
    </row>
    <row r="61" spans="1:3" customFormat="1" x14ac:dyDescent="0.2">
      <c r="B61" s="56"/>
      <c r="C61" s="56"/>
    </row>
    <row r="62" spans="1:3" customFormat="1" x14ac:dyDescent="0.2">
      <c r="B62" s="56"/>
      <c r="C62" s="56"/>
    </row>
    <row r="63" spans="1:3" customFormat="1" x14ac:dyDescent="0.2">
      <c r="B63" s="56"/>
      <c r="C63" s="56"/>
    </row>
    <row r="64" spans="1:3" customFormat="1" x14ac:dyDescent="0.2">
      <c r="B64" s="56"/>
      <c r="C64" s="56"/>
    </row>
    <row r="65" spans="2:3" customFormat="1" x14ac:dyDescent="0.2">
      <c r="B65" s="56"/>
      <c r="C65" s="56"/>
    </row>
    <row r="66" spans="2:3" customFormat="1" x14ac:dyDescent="0.2">
      <c r="B66" s="56"/>
      <c r="C66" s="56"/>
    </row>
    <row r="67" spans="2:3" customFormat="1" x14ac:dyDescent="0.2">
      <c r="B67" s="56"/>
      <c r="C67" s="56"/>
    </row>
    <row r="68" spans="2:3" customFormat="1" x14ac:dyDescent="0.2">
      <c r="B68" s="56"/>
      <c r="C68" s="56"/>
    </row>
    <row r="69" spans="2:3" customFormat="1" x14ac:dyDescent="0.2">
      <c r="B69" s="56"/>
      <c r="C69" s="56"/>
    </row>
    <row r="70" spans="2:3" customFormat="1" x14ac:dyDescent="0.2">
      <c r="B70" s="56"/>
      <c r="C70" s="56"/>
    </row>
    <row r="71" spans="2:3" customFormat="1" x14ac:dyDescent="0.2">
      <c r="B71" s="56"/>
      <c r="C71" s="56"/>
    </row>
    <row r="72" spans="2:3" customFormat="1" x14ac:dyDescent="0.2">
      <c r="B72" s="56"/>
      <c r="C72" s="56"/>
    </row>
    <row r="73" spans="2:3" customFormat="1" x14ac:dyDescent="0.2">
      <c r="B73" s="56"/>
      <c r="C73" s="56"/>
    </row>
    <row r="74" spans="2:3" customFormat="1" x14ac:dyDescent="0.2">
      <c r="B74" s="56"/>
      <c r="C74" s="56"/>
    </row>
    <row r="75" spans="2:3" customFormat="1" x14ac:dyDescent="0.2">
      <c r="B75" s="56"/>
      <c r="C75" s="56"/>
    </row>
    <row r="76" spans="2:3" customFormat="1" x14ac:dyDescent="0.2">
      <c r="B76" s="56"/>
      <c r="C76" s="56"/>
    </row>
    <row r="77" spans="2:3" customFormat="1" x14ac:dyDescent="0.2">
      <c r="B77" s="56"/>
      <c r="C77" s="56"/>
    </row>
    <row r="78" spans="2:3" customFormat="1" x14ac:dyDescent="0.2">
      <c r="B78" s="56"/>
      <c r="C78" s="56"/>
    </row>
    <row r="79" spans="2:3" customFormat="1" x14ac:dyDescent="0.2">
      <c r="B79" s="56"/>
      <c r="C79" s="56"/>
    </row>
    <row r="80" spans="2:3" customFormat="1" x14ac:dyDescent="0.2">
      <c r="B80" s="56"/>
      <c r="C80" s="56"/>
    </row>
    <row r="81" spans="2:3" customFormat="1" x14ac:dyDescent="0.2">
      <c r="B81" s="56"/>
      <c r="C81" s="56"/>
    </row>
    <row r="82" spans="2:3" customFormat="1" x14ac:dyDescent="0.2">
      <c r="B82" s="56"/>
      <c r="C82" s="56"/>
    </row>
    <row r="83" spans="2:3" customFormat="1" x14ac:dyDescent="0.2">
      <c r="B83" s="56"/>
      <c r="C83" s="56"/>
    </row>
    <row r="84" spans="2:3" customFormat="1" x14ac:dyDescent="0.2">
      <c r="B84" s="56"/>
      <c r="C84" s="56"/>
    </row>
    <row r="85" spans="2:3" customFormat="1" x14ac:dyDescent="0.2">
      <c r="B85" s="56"/>
      <c r="C85" s="56"/>
    </row>
    <row r="86" spans="2:3" customFormat="1" x14ac:dyDescent="0.2">
      <c r="B86" s="56"/>
      <c r="C86" s="56"/>
    </row>
    <row r="87" spans="2:3" customFormat="1" x14ac:dyDescent="0.2">
      <c r="B87" s="56"/>
      <c r="C87" s="56"/>
    </row>
    <row r="88" spans="2:3" customFormat="1" x14ac:dyDescent="0.2">
      <c r="B88" s="56"/>
      <c r="C88" s="56"/>
    </row>
    <row r="89" spans="2:3" customFormat="1" x14ac:dyDescent="0.2">
      <c r="B89" s="56"/>
      <c r="C89" s="56"/>
    </row>
    <row r="90" spans="2:3" customFormat="1" x14ac:dyDescent="0.2">
      <c r="B90" s="56"/>
      <c r="C90" s="56"/>
    </row>
    <row r="91" spans="2:3" customFormat="1" x14ac:dyDescent="0.2">
      <c r="B91" s="56"/>
      <c r="C91" s="56"/>
    </row>
    <row r="92" spans="2:3" customFormat="1" x14ac:dyDescent="0.2">
      <c r="B92" s="56"/>
      <c r="C92" s="56"/>
    </row>
    <row r="93" spans="2:3" customFormat="1" x14ac:dyDescent="0.2">
      <c r="B93" s="56"/>
      <c r="C93" s="56"/>
    </row>
    <row r="94" spans="2:3" customFormat="1" x14ac:dyDescent="0.2">
      <c r="B94" s="56"/>
      <c r="C94" s="56"/>
    </row>
    <row r="95" spans="2:3" customFormat="1" x14ac:dyDescent="0.2">
      <c r="B95" s="56"/>
      <c r="C95" s="56"/>
    </row>
    <row r="96" spans="2:3" customFormat="1" x14ac:dyDescent="0.2">
      <c r="B96" s="56"/>
      <c r="C96" s="56"/>
    </row>
    <row r="97" spans="2:3" customFormat="1" x14ac:dyDescent="0.2">
      <c r="B97" s="56"/>
      <c r="C97" s="56"/>
    </row>
    <row r="98" spans="2:3" customFormat="1" x14ac:dyDescent="0.2">
      <c r="B98" s="56"/>
      <c r="C98" s="56"/>
    </row>
  </sheetData>
  <sheetProtection password="EFB8" sheet="1"/>
  <mergeCells count="13">
    <mergeCell ref="B54:C54"/>
    <mergeCell ref="A20:D21"/>
    <mergeCell ref="A11:A12"/>
    <mergeCell ref="G13:H13"/>
    <mergeCell ref="G14:H14"/>
    <mergeCell ref="G15:H15"/>
    <mergeCell ref="G17:H17"/>
    <mergeCell ref="A19:D19"/>
    <mergeCell ref="B2:E2"/>
    <mergeCell ref="B3:E3"/>
    <mergeCell ref="F6:H6"/>
    <mergeCell ref="G2:H2"/>
    <mergeCell ref="C17:D17"/>
  </mergeCells>
  <pageMargins left="0.7" right="0.33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'Ark1'!M12:M13</xm:f>
          </x14:formula1>
          <xm:sqref>B8</xm:sqref>
        </x14:dataValidation>
        <x14:dataValidation type="list" allowBlank="1" showInputMessage="1" showErrorMessage="1">
          <x14:formula1>
            <xm:f>'Ark1'!C4:C6</xm:f>
          </x14:formula1>
          <xm:sqref>B5</xm:sqref>
        </x14:dataValidation>
        <x14:dataValidation type="list" allowBlank="1" showInputMessage="1" showErrorMessage="1">
          <x14:formula1>
            <xm:f>'Ark1'!D3:E3</xm:f>
          </x14:formula1>
          <xm:sqref>B6</xm:sqref>
        </x14:dataValidation>
        <x14:dataValidation type="list" allowBlank="1" showInputMessage="1" showErrorMessage="1">
          <x14:formula1>
            <xm:f>'Ark1'!M12:M13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workbookViewId="0">
      <selection activeCell="M12" sqref="M12"/>
    </sheetView>
  </sheetViews>
  <sheetFormatPr defaultRowHeight="12.75" x14ac:dyDescent="0.2"/>
  <cols>
    <col min="1" max="1" width="12.28515625" customWidth="1"/>
    <col min="2" max="2" width="14.28515625" customWidth="1"/>
    <col min="3" max="3" width="18.28515625" customWidth="1"/>
    <col min="4" max="4" width="16.5703125" customWidth="1"/>
    <col min="5" max="5" width="17" customWidth="1"/>
    <col min="6" max="6" width="9" customWidth="1"/>
    <col min="7" max="7" width="9" style="13" customWidth="1"/>
    <col min="8" max="8" width="17" customWidth="1"/>
    <col min="9" max="9" width="8.5703125" customWidth="1"/>
    <col min="10" max="10" width="9.5703125" customWidth="1"/>
    <col min="11" max="11" width="9.85546875" style="108" customWidth="1"/>
    <col min="12" max="12" width="9.5703125" customWidth="1"/>
    <col min="13" max="13" width="10.5703125" customWidth="1"/>
    <col min="14" max="15" width="9.5703125" customWidth="1"/>
    <col min="16" max="16" width="10.140625" customWidth="1"/>
    <col min="17" max="17" width="13.85546875" customWidth="1"/>
    <col min="18" max="18" width="9.28515625" customWidth="1"/>
  </cols>
  <sheetData>
    <row r="1" spans="1:18" x14ac:dyDescent="0.2">
      <c r="A1" s="13"/>
      <c r="B1" s="13"/>
      <c r="Q1" s="3" t="s">
        <v>15</v>
      </c>
      <c r="R1" s="3"/>
    </row>
    <row r="2" spans="1:18" x14ac:dyDescent="0.2">
      <c r="B2" s="13"/>
      <c r="Q2" s="89" t="s">
        <v>16</v>
      </c>
      <c r="R2" s="89" t="s">
        <v>33</v>
      </c>
    </row>
    <row r="3" spans="1:18" x14ac:dyDescent="0.2">
      <c r="A3" s="13"/>
      <c r="C3" s="3"/>
      <c r="D3" s="3" t="s">
        <v>50</v>
      </c>
      <c r="E3" s="3" t="s">
        <v>51</v>
      </c>
      <c r="H3" s="3" t="s">
        <v>42</v>
      </c>
      <c r="I3" s="93">
        <v>3</v>
      </c>
      <c r="J3" s="93">
        <v>3.5</v>
      </c>
      <c r="K3" s="109">
        <v>4</v>
      </c>
      <c r="L3" s="93">
        <v>4.5</v>
      </c>
      <c r="M3" s="93">
        <v>5</v>
      </c>
      <c r="N3" s="93">
        <v>6</v>
      </c>
      <c r="O3" s="93">
        <v>7</v>
      </c>
      <c r="Q3" s="89">
        <f>I4</f>
        <v>5225391</v>
      </c>
      <c r="R3" s="81">
        <v>384</v>
      </c>
    </row>
    <row r="4" spans="1:18" x14ac:dyDescent="0.2">
      <c r="A4" s="13"/>
      <c r="C4" s="3" t="s">
        <v>44</v>
      </c>
      <c r="D4" s="87" t="s">
        <v>30</v>
      </c>
      <c r="E4" s="88" t="s">
        <v>29</v>
      </c>
      <c r="H4" s="82" t="s">
        <v>29</v>
      </c>
      <c r="I4" s="121">
        <v>5225391</v>
      </c>
      <c r="J4" s="121">
        <v>5225392</v>
      </c>
      <c r="K4" s="122">
        <v>5225393</v>
      </c>
      <c r="L4" s="121">
        <v>5225394</v>
      </c>
      <c r="M4" s="121">
        <v>5225395</v>
      </c>
      <c r="N4" s="121">
        <v>5225396</v>
      </c>
      <c r="O4" s="24">
        <v>1424575</v>
      </c>
      <c r="Q4" s="89">
        <f>J4</f>
        <v>5225392</v>
      </c>
      <c r="R4" s="81">
        <v>448</v>
      </c>
    </row>
    <row r="5" spans="1:18" x14ac:dyDescent="0.2">
      <c r="A5" s="13"/>
      <c r="C5" s="3" t="s">
        <v>45</v>
      </c>
      <c r="D5" s="87" t="s">
        <v>32</v>
      </c>
      <c r="E5" s="87" t="s">
        <v>31</v>
      </c>
      <c r="H5" s="82" t="s">
        <v>30</v>
      </c>
      <c r="I5" s="121">
        <v>5225397</v>
      </c>
      <c r="J5" s="121">
        <v>5225398</v>
      </c>
      <c r="K5" s="122">
        <v>5225399</v>
      </c>
      <c r="L5" s="121">
        <v>5225400</v>
      </c>
      <c r="M5" s="121">
        <v>5225401</v>
      </c>
      <c r="N5" s="121">
        <v>5225402</v>
      </c>
      <c r="O5" s="121" t="s">
        <v>53</v>
      </c>
      <c r="Q5" s="89">
        <f>K4</f>
        <v>5225393</v>
      </c>
      <c r="R5" s="81">
        <v>512</v>
      </c>
    </row>
    <row r="6" spans="1:18" x14ac:dyDescent="0.2">
      <c r="A6" s="13"/>
      <c r="C6" s="3" t="s">
        <v>49</v>
      </c>
      <c r="D6" s="87" t="s">
        <v>41</v>
      </c>
      <c r="E6" s="87" t="s">
        <v>77</v>
      </c>
      <c r="H6" s="82" t="s">
        <v>31</v>
      </c>
      <c r="I6" s="121">
        <v>5225403</v>
      </c>
      <c r="J6" s="121">
        <v>5225404</v>
      </c>
      <c r="K6" s="122">
        <v>5225405</v>
      </c>
      <c r="L6" s="121">
        <v>5225406</v>
      </c>
      <c r="M6" s="121">
        <v>5225407</v>
      </c>
      <c r="N6" s="121">
        <v>5225408</v>
      </c>
      <c r="O6" s="24">
        <v>1424576</v>
      </c>
      <c r="Q6" s="90">
        <f>L4</f>
        <v>5225394</v>
      </c>
      <c r="R6" s="81">
        <v>576</v>
      </c>
    </row>
    <row r="7" spans="1:18" x14ac:dyDescent="0.2">
      <c r="A7" s="13"/>
      <c r="C7" s="92" t="str">
        <f>INDEX(D4:E6,MATCH(TermoTag!B5,C4:C6,0),MATCH(TermoTag!B6,D3:E3,0))</f>
        <v>10 mm, 4-lags opal</v>
      </c>
      <c r="H7" s="82" t="s">
        <v>32</v>
      </c>
      <c r="I7" s="121">
        <v>5225409</v>
      </c>
      <c r="J7" s="121">
        <v>5225410</v>
      </c>
      <c r="K7" s="122">
        <v>5225411</v>
      </c>
      <c r="L7" s="121">
        <v>5225412</v>
      </c>
      <c r="M7" s="121">
        <v>5225413</v>
      </c>
      <c r="N7" s="121">
        <v>5225414</v>
      </c>
      <c r="O7" s="121" t="s">
        <v>53</v>
      </c>
      <c r="Q7" s="20">
        <f>M4</f>
        <v>5225395</v>
      </c>
      <c r="R7" s="81">
        <v>640</v>
      </c>
    </row>
    <row r="8" spans="1:18" x14ac:dyDescent="0.2">
      <c r="A8" s="13"/>
      <c r="H8" s="82" t="s">
        <v>77</v>
      </c>
      <c r="I8" s="121">
        <v>1469665</v>
      </c>
      <c r="J8" s="121">
        <v>1469667</v>
      </c>
      <c r="K8" s="122">
        <v>1469669</v>
      </c>
      <c r="L8" s="121">
        <v>1469670</v>
      </c>
      <c r="M8" s="121">
        <v>1469672</v>
      </c>
      <c r="N8" s="121">
        <v>1469673</v>
      </c>
      <c r="O8" s="121" t="s">
        <v>53</v>
      </c>
      <c r="Q8" s="20">
        <f>N4</f>
        <v>5225396</v>
      </c>
      <c r="R8" s="81">
        <v>768</v>
      </c>
    </row>
    <row r="9" spans="1:18" x14ac:dyDescent="0.2">
      <c r="A9" s="13"/>
      <c r="C9" s="7" t="s">
        <v>56</v>
      </c>
      <c r="D9" s="7" t="s">
        <v>16</v>
      </c>
      <c r="E9" s="7" t="s">
        <v>33</v>
      </c>
      <c r="H9" s="82" t="s">
        <v>41</v>
      </c>
      <c r="I9" s="123" t="s">
        <v>81</v>
      </c>
      <c r="J9" s="123" t="s">
        <v>81</v>
      </c>
      <c r="K9" s="124" t="s">
        <v>81</v>
      </c>
      <c r="L9" s="123" t="s">
        <v>81</v>
      </c>
      <c r="M9" s="123" t="s">
        <v>81</v>
      </c>
      <c r="N9" s="124" t="s">
        <v>81</v>
      </c>
      <c r="O9" s="123" t="s">
        <v>81</v>
      </c>
      <c r="Q9" s="20">
        <f>I5</f>
        <v>5225397</v>
      </c>
      <c r="R9" s="81">
        <v>384</v>
      </c>
    </row>
    <row r="10" spans="1:18" x14ac:dyDescent="0.2">
      <c r="A10" s="13"/>
      <c r="C10" s="50" t="str">
        <f>C4</f>
        <v>10 mm, 4-lags</v>
      </c>
      <c r="D10" s="3">
        <v>5908572</v>
      </c>
      <c r="E10" s="80">
        <v>27</v>
      </c>
      <c r="F10" s="94" t="s">
        <v>43</v>
      </c>
      <c r="G10" s="45" t="s">
        <v>78</v>
      </c>
      <c r="H10" s="7" t="s">
        <v>28</v>
      </c>
      <c r="I10" s="121">
        <v>5908552</v>
      </c>
      <c r="J10" s="121">
        <v>5908553</v>
      </c>
      <c r="K10" s="122">
        <v>5908554</v>
      </c>
      <c r="L10" s="121">
        <v>5908555</v>
      </c>
      <c r="M10" s="121">
        <v>5908556</v>
      </c>
      <c r="N10" s="121">
        <v>5908557</v>
      </c>
      <c r="O10" s="121" t="s">
        <v>53</v>
      </c>
      <c r="Q10" s="20">
        <f>J5</f>
        <v>5225398</v>
      </c>
      <c r="R10" s="81">
        <v>448</v>
      </c>
    </row>
    <row r="11" spans="1:18" x14ac:dyDescent="0.2">
      <c r="A11" s="13"/>
      <c r="C11" s="51" t="str">
        <f>C5</f>
        <v>16 mm, 7-lags</v>
      </c>
      <c r="D11" s="3">
        <v>5908573</v>
      </c>
      <c r="E11" s="81">
        <v>30</v>
      </c>
      <c r="F11" s="94" t="s">
        <v>52</v>
      </c>
      <c r="G11" s="45" t="s">
        <v>78</v>
      </c>
      <c r="Q11" s="20">
        <f>K5</f>
        <v>5225399</v>
      </c>
      <c r="R11" s="81">
        <v>512</v>
      </c>
    </row>
    <row r="12" spans="1:18" x14ac:dyDescent="0.2">
      <c r="A12" s="13"/>
      <c r="C12" s="50" t="str">
        <f>C6</f>
        <v>25 mm, 7-lags</v>
      </c>
      <c r="D12" s="20">
        <v>1449467</v>
      </c>
      <c r="E12" s="81">
        <v>43</v>
      </c>
      <c r="F12" s="94" t="s">
        <v>54</v>
      </c>
      <c r="G12" s="45" t="s">
        <v>78</v>
      </c>
      <c r="H12" s="20" t="s">
        <v>59</v>
      </c>
      <c r="I12" s="89" t="s">
        <v>16</v>
      </c>
      <c r="J12" s="89" t="s">
        <v>33</v>
      </c>
      <c r="M12" s="10" t="s">
        <v>18</v>
      </c>
      <c r="N12" t="s">
        <v>46</v>
      </c>
      <c r="Q12" s="20">
        <f>L5</f>
        <v>5225400</v>
      </c>
      <c r="R12" s="81">
        <v>576</v>
      </c>
    </row>
    <row r="13" spans="1:18" x14ac:dyDescent="0.2">
      <c r="A13" s="13"/>
      <c r="H13" s="3" t="str">
        <f>C4</f>
        <v>10 mm, 4-lags</v>
      </c>
      <c r="I13" s="3">
        <v>5908576</v>
      </c>
      <c r="J13" s="81">
        <v>77</v>
      </c>
      <c r="K13" s="108" t="s">
        <v>57</v>
      </c>
      <c r="L13" t="s">
        <v>68</v>
      </c>
      <c r="M13" s="10" t="s">
        <v>19</v>
      </c>
      <c r="N13" t="s">
        <v>47</v>
      </c>
      <c r="Q13" s="20">
        <f>M5</f>
        <v>5225401</v>
      </c>
      <c r="R13" s="81">
        <v>640</v>
      </c>
    </row>
    <row r="14" spans="1:18" x14ac:dyDescent="0.2">
      <c r="A14" s="13"/>
      <c r="C14" s="52" t="s">
        <v>27</v>
      </c>
      <c r="D14" s="7" t="s">
        <v>16</v>
      </c>
      <c r="E14" s="7" t="s">
        <v>33</v>
      </c>
      <c r="H14" s="3" t="str">
        <f>C5</f>
        <v>16 mm, 7-lags</v>
      </c>
      <c r="I14" s="101">
        <v>5908576</v>
      </c>
      <c r="J14" s="81">
        <v>77</v>
      </c>
      <c r="K14" s="108" t="s">
        <v>57</v>
      </c>
      <c r="L14" t="s">
        <v>68</v>
      </c>
      <c r="Q14" s="20">
        <f>N5</f>
        <v>5225402</v>
      </c>
      <c r="R14" s="81">
        <v>768</v>
      </c>
    </row>
    <row r="15" spans="1:18" x14ac:dyDescent="0.2">
      <c r="A15" s="13"/>
      <c r="C15" s="50" t="str">
        <f>C4</f>
        <v>10 mm, 4-lags</v>
      </c>
      <c r="D15" s="3">
        <v>5600364</v>
      </c>
      <c r="E15" s="58">
        <v>37</v>
      </c>
      <c r="F15" s="94" t="s">
        <v>43</v>
      </c>
      <c r="G15" s="128" t="s">
        <v>79</v>
      </c>
      <c r="H15" s="87" t="str">
        <f>C6</f>
        <v>25 mm, 7-lags</v>
      </c>
      <c r="I15" s="20">
        <v>1469961</v>
      </c>
      <c r="J15" s="81">
        <v>104</v>
      </c>
      <c r="K15" s="108" t="s">
        <v>58</v>
      </c>
      <c r="L15" t="s">
        <v>68</v>
      </c>
      <c r="M15" s="8" t="s">
        <v>1</v>
      </c>
      <c r="P15" s="11"/>
      <c r="Q15" s="20">
        <f>I6</f>
        <v>5225403</v>
      </c>
      <c r="R15" s="81">
        <v>588</v>
      </c>
    </row>
    <row r="16" spans="1:18" x14ac:dyDescent="0.2">
      <c r="A16" s="13"/>
      <c r="C16" s="50" t="str">
        <f>C5</f>
        <v>16 mm, 7-lags</v>
      </c>
      <c r="D16" s="3">
        <v>5600365</v>
      </c>
      <c r="E16" s="58">
        <v>37</v>
      </c>
      <c r="F16" s="94" t="s">
        <v>52</v>
      </c>
      <c r="G16" s="128" t="s">
        <v>79</v>
      </c>
      <c r="K16" s="110"/>
      <c r="M16" s="9">
        <v>3</v>
      </c>
      <c r="O16" s="10"/>
      <c r="P16" s="61"/>
      <c r="Q16" s="20">
        <f>J6</f>
        <v>5225404</v>
      </c>
      <c r="R16" s="81">
        <v>686</v>
      </c>
    </row>
    <row r="17" spans="1:18" x14ac:dyDescent="0.2">
      <c r="A17" s="13"/>
      <c r="C17" s="50" t="str">
        <f>C6</f>
        <v>25 mm, 7-lags</v>
      </c>
      <c r="D17" s="20">
        <v>1469983</v>
      </c>
      <c r="E17" s="58">
        <v>56</v>
      </c>
      <c r="F17" s="94" t="s">
        <v>54</v>
      </c>
      <c r="G17" s="128" t="s">
        <v>79</v>
      </c>
      <c r="H17" s="3" t="s">
        <v>60</v>
      </c>
      <c r="I17" s="89" t="s">
        <v>16</v>
      </c>
      <c r="J17" s="89" t="s">
        <v>33</v>
      </c>
      <c r="K17" s="115" t="s">
        <v>70</v>
      </c>
      <c r="L17" s="10"/>
      <c r="M17" s="9">
        <v>3.5</v>
      </c>
      <c r="N17" s="10"/>
      <c r="P17" s="11"/>
      <c r="Q17" s="20">
        <f>K6</f>
        <v>5225405</v>
      </c>
      <c r="R17" s="81">
        <v>785</v>
      </c>
    </row>
    <row r="18" spans="1:18" x14ac:dyDescent="0.2">
      <c r="A18" s="13"/>
      <c r="H18" s="3" t="s">
        <v>61</v>
      </c>
      <c r="I18" s="3">
        <v>5600370</v>
      </c>
      <c r="J18" s="95">
        <v>120</v>
      </c>
      <c r="K18" s="114" t="s">
        <v>64</v>
      </c>
      <c r="L18" s="10"/>
      <c r="M18" s="9">
        <v>4</v>
      </c>
      <c r="N18" s="10"/>
      <c r="P18" s="11"/>
      <c r="Q18" s="3">
        <f>L6</f>
        <v>5225406</v>
      </c>
      <c r="R18" s="81">
        <v>882</v>
      </c>
    </row>
    <row r="19" spans="1:18" x14ac:dyDescent="0.2">
      <c r="A19" s="74"/>
      <c r="C19" s="3" t="s">
        <v>28</v>
      </c>
      <c r="D19" s="89" t="s">
        <v>16</v>
      </c>
      <c r="E19" s="89" t="s">
        <v>33</v>
      </c>
      <c r="H19" s="3" t="s">
        <v>14</v>
      </c>
      <c r="I19" s="3">
        <v>5600371</v>
      </c>
      <c r="J19" s="95">
        <v>28</v>
      </c>
      <c r="K19" s="115" t="s">
        <v>65</v>
      </c>
      <c r="L19" s="10"/>
      <c r="M19" s="9">
        <v>4.5</v>
      </c>
      <c r="N19" s="10"/>
      <c r="P19" s="11"/>
      <c r="Q19" s="3">
        <f>M6</f>
        <v>5225407</v>
      </c>
      <c r="R19" s="81">
        <v>980</v>
      </c>
    </row>
    <row r="20" spans="1:18" x14ac:dyDescent="0.2">
      <c r="A20" s="74"/>
      <c r="C20" s="97">
        <v>3</v>
      </c>
      <c r="D20" s="3">
        <v>5908552</v>
      </c>
      <c r="E20" s="81">
        <v>132</v>
      </c>
      <c r="F20" s="94" t="s">
        <v>71</v>
      </c>
      <c r="H20" s="20" t="s">
        <v>62</v>
      </c>
      <c r="I20" s="3">
        <v>5600372</v>
      </c>
      <c r="J20" s="95">
        <v>31</v>
      </c>
      <c r="K20" s="115" t="s">
        <v>66</v>
      </c>
      <c r="L20" s="10"/>
      <c r="M20" s="9">
        <v>5</v>
      </c>
      <c r="P20" s="11"/>
      <c r="Q20" s="3">
        <f>N6</f>
        <v>5225408</v>
      </c>
      <c r="R20" s="81">
        <v>1176</v>
      </c>
    </row>
    <row r="21" spans="1:18" x14ac:dyDescent="0.2">
      <c r="A21" s="38"/>
      <c r="C21" s="97">
        <v>3.5</v>
      </c>
      <c r="D21" s="3">
        <v>5908553</v>
      </c>
      <c r="E21" s="81">
        <v>154</v>
      </c>
      <c r="F21" s="94" t="s">
        <v>72</v>
      </c>
      <c r="H21" s="20" t="s">
        <v>85</v>
      </c>
      <c r="I21" s="3">
        <v>5261181</v>
      </c>
      <c r="J21" s="95">
        <v>59</v>
      </c>
      <c r="K21" s="115" t="s">
        <v>84</v>
      </c>
      <c r="L21" s="10"/>
      <c r="M21" s="9">
        <v>6</v>
      </c>
      <c r="Q21" s="3">
        <f>I7</f>
        <v>5225409</v>
      </c>
      <c r="R21" s="81">
        <v>588</v>
      </c>
    </row>
    <row r="22" spans="1:18" x14ac:dyDescent="0.2">
      <c r="A22" s="78"/>
      <c r="C22" s="97">
        <v>4</v>
      </c>
      <c r="D22" s="3">
        <v>5908554</v>
      </c>
      <c r="E22" s="81">
        <v>175</v>
      </c>
      <c r="F22" s="94" t="s">
        <v>73</v>
      </c>
      <c r="H22" s="87" t="s">
        <v>20</v>
      </c>
      <c r="I22" s="3">
        <v>5600373</v>
      </c>
      <c r="J22" s="95">
        <v>225</v>
      </c>
      <c r="K22" s="115" t="s">
        <v>68</v>
      </c>
      <c r="L22" s="10"/>
      <c r="M22" s="9">
        <v>7</v>
      </c>
      <c r="N22" s="54">
        <f>ROUNDUP(((TermoTag!F25*1.07)/10),0)</f>
        <v>1</v>
      </c>
      <c r="P22" s="11"/>
      <c r="Q22" s="3">
        <f>J7</f>
        <v>5225410</v>
      </c>
      <c r="R22" s="81">
        <v>686</v>
      </c>
    </row>
    <row r="23" spans="1:18" x14ac:dyDescent="0.2">
      <c r="C23" s="97">
        <v>4.5</v>
      </c>
      <c r="D23" s="3">
        <v>5908555</v>
      </c>
      <c r="E23" s="81">
        <v>196</v>
      </c>
      <c r="F23" s="94" t="s">
        <v>74</v>
      </c>
      <c r="H23" s="20" t="s">
        <v>63</v>
      </c>
      <c r="I23" s="3">
        <v>5248358</v>
      </c>
      <c r="J23" s="95">
        <v>62</v>
      </c>
      <c r="K23" s="115" t="s">
        <v>67</v>
      </c>
      <c r="L23" s="10"/>
      <c r="M23" s="10" t="s">
        <v>53</v>
      </c>
      <c r="N23" s="54">
        <v>0</v>
      </c>
      <c r="O23" s="57"/>
      <c r="P23" s="11"/>
      <c r="Q23" s="3">
        <f>K7</f>
        <v>5225411</v>
      </c>
      <c r="R23" s="81">
        <v>785</v>
      </c>
    </row>
    <row r="24" spans="1:18" x14ac:dyDescent="0.2">
      <c r="A24" s="7" t="s">
        <v>33</v>
      </c>
      <c r="C24" s="97">
        <v>5</v>
      </c>
      <c r="D24" s="3">
        <v>5908556</v>
      </c>
      <c r="E24" s="81">
        <v>218</v>
      </c>
      <c r="F24" s="94" t="s">
        <v>75</v>
      </c>
      <c r="H24" s="20" t="s">
        <v>24</v>
      </c>
      <c r="I24" s="3">
        <v>5600376</v>
      </c>
      <c r="J24" s="95">
        <v>18</v>
      </c>
      <c r="K24" s="115" t="s">
        <v>69</v>
      </c>
      <c r="L24" s="10"/>
      <c r="M24" s="13"/>
      <c r="O24" s="57"/>
      <c r="Q24" s="20">
        <f>L7</f>
        <v>5225412</v>
      </c>
      <c r="R24" s="81">
        <v>882</v>
      </c>
    </row>
    <row r="25" spans="1:18" x14ac:dyDescent="0.2">
      <c r="A25" s="119">
        <f>INDEX(Q3:R35,MATCH(TermoTag!H25,Q3:Q35,0),MATCH($A$24,Q2:R2,0))*TermoTag!F25</f>
        <v>5376</v>
      </c>
      <c r="C25" s="97">
        <v>6</v>
      </c>
      <c r="D25" s="3">
        <v>5908557</v>
      </c>
      <c r="E25" s="81">
        <v>262</v>
      </c>
      <c r="F25" s="94" t="s">
        <v>76</v>
      </c>
      <c r="H25" s="20" t="s">
        <v>34</v>
      </c>
      <c r="I25" s="3">
        <v>5660651</v>
      </c>
      <c r="J25" s="95">
        <v>26</v>
      </c>
      <c r="K25" s="115" t="s">
        <v>69</v>
      </c>
      <c r="L25" s="10"/>
      <c r="M25" s="13"/>
      <c r="O25" s="57"/>
      <c r="Q25" s="3">
        <f>M7</f>
        <v>5225413</v>
      </c>
      <c r="R25" s="81">
        <v>980</v>
      </c>
    </row>
    <row r="26" spans="1:18" x14ac:dyDescent="0.2">
      <c r="A26" s="119">
        <f>INDEX(D20:E26,MATCH(TermoTag!H26,D20:D26,0),MATCH($A$24,D19:E19,0))*TermoTag!F26</f>
        <v>2096</v>
      </c>
      <c r="D26" s="107" t="s">
        <v>53</v>
      </c>
      <c r="E26" s="125">
        <v>0</v>
      </c>
      <c r="H26" s="20" t="s">
        <v>22</v>
      </c>
      <c r="I26" s="106" t="s">
        <v>35</v>
      </c>
      <c r="J26" s="95">
        <v>35</v>
      </c>
      <c r="K26" s="114"/>
      <c r="L26" s="10"/>
      <c r="M26" s="13"/>
      <c r="N26" s="54">
        <f>IF(TermoTag!B7="ja",ROUNDUP(((TermoTag!F25*1.07)/10),0),0)</f>
        <v>0</v>
      </c>
      <c r="O26" s="57"/>
      <c r="Q26" s="91">
        <f>N7</f>
        <v>5225414</v>
      </c>
      <c r="R26" s="81">
        <v>1176</v>
      </c>
    </row>
    <row r="27" spans="1:18" x14ac:dyDescent="0.2">
      <c r="A27" s="119">
        <f>INDEX(D15:F17,MATCH(TermoTag!H27,D15:D17,0),MATCH($A$24,D14:F14,0))*TermoTag!F27</f>
        <v>148</v>
      </c>
      <c r="C27" s="53"/>
      <c r="D27" s="38"/>
      <c r="E27" s="39"/>
      <c r="I27" s="48"/>
      <c r="L27" s="10"/>
      <c r="M27" s="13"/>
      <c r="N27" s="54">
        <v>0</v>
      </c>
      <c r="O27" s="57"/>
      <c r="Q27" s="91">
        <f>I8</f>
        <v>1469665</v>
      </c>
      <c r="R27" s="81">
        <v>772</v>
      </c>
    </row>
    <row r="28" spans="1:18" x14ac:dyDescent="0.2">
      <c r="A28" s="119">
        <f>INDEX(D10:E12,MATCH(TermoTag!H28,D10:D12,0),MATCH($A$24,D9:E9,0))*TermoTag!F28</f>
        <v>108</v>
      </c>
      <c r="C28" s="3" t="s">
        <v>55</v>
      </c>
      <c r="D28" s="89" t="s">
        <v>16</v>
      </c>
      <c r="E28" s="89" t="s">
        <v>33</v>
      </c>
      <c r="I28" s="117"/>
      <c r="L28" s="10"/>
      <c r="M28" s="13"/>
      <c r="O28" s="105"/>
      <c r="Q28" s="91">
        <f>J8</f>
        <v>1469667</v>
      </c>
      <c r="R28" s="81">
        <v>902</v>
      </c>
    </row>
    <row r="29" spans="1:18" x14ac:dyDescent="0.2">
      <c r="A29" s="119">
        <f>INDEX(D29:E31,MATCH(TermoTag!H29,D29:D31,0),MATCH($A$24,D28:E28,0))*TermoTag!F29</f>
        <v>112</v>
      </c>
      <c r="C29" s="3" t="str">
        <f>C4</f>
        <v>10 mm, 4-lags</v>
      </c>
      <c r="D29" s="3">
        <v>5600368</v>
      </c>
      <c r="E29" s="81">
        <v>14</v>
      </c>
      <c r="F29" s="94" t="s">
        <v>43</v>
      </c>
      <c r="G29" s="45"/>
      <c r="H29" s="113"/>
      <c r="I29" s="116"/>
      <c r="K29" s="110"/>
      <c r="L29" s="45"/>
      <c r="M29" s="20" t="s">
        <v>17</v>
      </c>
      <c r="O29" s="105"/>
      <c r="Q29" s="7">
        <f>K8</f>
        <v>1469669</v>
      </c>
      <c r="R29" s="81">
        <v>1029</v>
      </c>
    </row>
    <row r="30" spans="1:18" x14ac:dyDescent="0.2">
      <c r="A30" s="119">
        <f>INDEX(D34:E36,MATCH(TermoTag!H30,D34:D36,0),MATCH($A$24,D33:E33,0))*TermoTag!F30</f>
        <v>51</v>
      </c>
      <c r="C30" s="3" t="str">
        <f>C5</f>
        <v>16 mm, 7-lags</v>
      </c>
      <c r="D30" s="3">
        <v>5600368</v>
      </c>
      <c r="E30" s="81">
        <v>14</v>
      </c>
      <c r="F30" s="94" t="s">
        <v>52</v>
      </c>
      <c r="G30" s="45"/>
      <c r="H30" s="113"/>
      <c r="I30" s="48"/>
      <c r="J30" s="18" t="s">
        <v>1</v>
      </c>
      <c r="K30" s="85">
        <f>IF(TermoTag!C13&lt;=3,M16,IF(TermoTag!C13&lt;=3.5,M17,IF(TermoTag!C13&lt;=4,M18,IF(TermoTag!C13&lt;=4.5,M19,IF(TermoTag!C13&lt;=5,M20,IF(TermoTag!C13&lt;=6,M21,IF(TermoTag!C13&gt;6,M23)))))))</f>
        <v>6</v>
      </c>
      <c r="L30" s="45"/>
      <c r="M30" s="3" t="s">
        <v>18</v>
      </c>
      <c r="N30" s="54">
        <f>TermoTag!F25+1</f>
        <v>8</v>
      </c>
      <c r="O30" s="105"/>
      <c r="Q30" s="3">
        <f>L8</f>
        <v>1469670</v>
      </c>
      <c r="R30" s="81">
        <v>1158</v>
      </c>
    </row>
    <row r="31" spans="1:18" x14ac:dyDescent="0.2">
      <c r="A31" s="119">
        <f>INDEX(I13:J15,MATCH(TermoTag!H31,I13:I15,0),MATCH($A$24,I12:J12,0))*TermoTag!F31</f>
        <v>77</v>
      </c>
      <c r="C31" s="3" t="str">
        <f>C6</f>
        <v>25 mm, 7-lags</v>
      </c>
      <c r="D31" s="3">
        <v>1469956</v>
      </c>
      <c r="E31" s="81">
        <v>16</v>
      </c>
      <c r="F31" s="94" t="s">
        <v>54</v>
      </c>
      <c r="G31" s="45"/>
      <c r="H31" s="113"/>
      <c r="I31" s="48"/>
      <c r="J31" s="18" t="s">
        <v>6</v>
      </c>
      <c r="K31" s="85">
        <f>ROUNDUP((TermoTag!B13/1.07)-0.06,0)</f>
        <v>7</v>
      </c>
      <c r="L31" s="45"/>
      <c r="M31" s="3" t="s">
        <v>19</v>
      </c>
      <c r="N31" s="54">
        <v>0</v>
      </c>
      <c r="O31" s="105"/>
      <c r="Q31" s="3">
        <f>M8</f>
        <v>1469672</v>
      </c>
      <c r="R31" s="81">
        <v>1288</v>
      </c>
    </row>
    <row r="32" spans="1:18" x14ac:dyDescent="0.2">
      <c r="A32" s="119">
        <f>INDEX($I$18:$J$26,MATCH(TermoTag!H32,$I$18:$I$26,0),MATCH($A$24,$I$17:$J$17,0))*TermoTag!F32</f>
        <v>120</v>
      </c>
      <c r="C32" s="39"/>
      <c r="E32" s="57"/>
      <c r="H32" s="113"/>
      <c r="I32" s="48"/>
      <c r="J32" s="113"/>
      <c r="K32" s="110"/>
      <c r="L32" s="45"/>
      <c r="O32" s="105"/>
      <c r="Q32" s="3">
        <f>N8</f>
        <v>1469673</v>
      </c>
      <c r="R32" s="81">
        <v>1545</v>
      </c>
    </row>
    <row r="33" spans="1:20" x14ac:dyDescent="0.2">
      <c r="A33" s="119">
        <f>INDEX($I$18:$J$26,MATCH(TermoTag!H33,$I$18:$I$26,0),MATCH($A$24,$I$17:$J$17,0))*TermoTag!F33</f>
        <v>28</v>
      </c>
      <c r="C33" s="87" t="s">
        <v>80</v>
      </c>
      <c r="D33" s="89" t="s">
        <v>16</v>
      </c>
      <c r="E33" s="102" t="s">
        <v>33</v>
      </c>
      <c r="F33" s="98"/>
      <c r="G33" s="99"/>
      <c r="H33" s="113"/>
      <c r="I33" s="48"/>
      <c r="J33" s="113"/>
      <c r="K33" s="110"/>
      <c r="L33" s="45"/>
      <c r="M33" s="3" t="s">
        <v>23</v>
      </c>
      <c r="O33" s="105"/>
      <c r="Q33" s="3">
        <f>O4</f>
        <v>1424575</v>
      </c>
      <c r="R33" s="95">
        <v>897</v>
      </c>
    </row>
    <row r="34" spans="1:20" x14ac:dyDescent="0.2">
      <c r="A34" s="119">
        <f>INDEX($I$18:$J$26,MATCH(TermoTag!H34,$I$18:$I$26,0),MATCH($A$24,$I$17:$J$17,0))*TermoTag!F34</f>
        <v>124</v>
      </c>
      <c r="C34" s="3" t="str">
        <f>C4</f>
        <v>10 mm, 4-lags</v>
      </c>
      <c r="D34" s="100">
        <v>5600369</v>
      </c>
      <c r="E34" s="81">
        <v>51</v>
      </c>
      <c r="F34" s="94" t="s">
        <v>57</v>
      </c>
      <c r="G34" s="13" t="s">
        <v>68</v>
      </c>
      <c r="H34" s="113"/>
      <c r="I34" s="48"/>
      <c r="J34" s="113"/>
      <c r="K34" s="110"/>
      <c r="L34" s="45"/>
      <c r="M34" s="3" t="s">
        <v>18</v>
      </c>
      <c r="O34" s="105"/>
      <c r="Q34" s="3">
        <f>O6</f>
        <v>1424576</v>
      </c>
      <c r="R34" s="95">
        <v>1377</v>
      </c>
    </row>
    <row r="35" spans="1:20" x14ac:dyDescent="0.2">
      <c r="A35" s="119">
        <f>INDEX($I$18:$J$26,MATCH(TermoTag!H35,$I$18:$I$26,0),MATCH($A$24,$I$17:$J$17,0))*TermoTag!F35</f>
        <v>0</v>
      </c>
      <c r="C35" s="3" t="str">
        <f>C5</f>
        <v>16 mm, 7-lags</v>
      </c>
      <c r="D35" s="101">
        <v>5600369</v>
      </c>
      <c r="E35" s="81">
        <v>51</v>
      </c>
      <c r="F35" s="94" t="s">
        <v>57</v>
      </c>
      <c r="G35" s="13" t="s">
        <v>68</v>
      </c>
      <c r="H35" s="113"/>
      <c r="I35" s="48"/>
      <c r="J35" s="113"/>
      <c r="K35" s="110"/>
      <c r="L35" s="45"/>
      <c r="M35" s="3" t="s">
        <v>19</v>
      </c>
      <c r="O35" s="105"/>
      <c r="Q35" s="126" t="s">
        <v>53</v>
      </c>
      <c r="R35" s="127">
        <v>0</v>
      </c>
    </row>
    <row r="36" spans="1:20" x14ac:dyDescent="0.2">
      <c r="A36" s="119">
        <f>INDEX($I$18:$J$26,MATCH(TermoTag!H36,$I$18:$I$26,0),MATCH($A$24,$I$17:$J$17,0))*TermoTag!F36</f>
        <v>0</v>
      </c>
      <c r="C36" s="3" t="str">
        <f>C6</f>
        <v>25 mm, 7-lags</v>
      </c>
      <c r="D36" s="103">
        <v>1469967</v>
      </c>
      <c r="E36" s="95">
        <v>71</v>
      </c>
      <c r="F36" s="94" t="s">
        <v>58</v>
      </c>
      <c r="G36" s="13" t="s">
        <v>68</v>
      </c>
      <c r="H36" s="113"/>
      <c r="I36" s="48"/>
      <c r="J36" s="113"/>
      <c r="K36" s="110"/>
      <c r="L36" s="38"/>
      <c r="O36" s="105"/>
    </row>
    <row r="37" spans="1:20" x14ac:dyDescent="0.2">
      <c r="A37" s="119">
        <f>INDEX($I$18:$J$26,MATCH(TermoTag!H37,$I$18:$I$26,0),MATCH($A$24,$I$17:$J$17,0))*TermoTag!F37</f>
        <v>0</v>
      </c>
      <c r="I37" s="48"/>
      <c r="J37" s="48"/>
      <c r="K37" s="110"/>
      <c r="L37" s="104"/>
      <c r="M37" s="3" t="s">
        <v>24</v>
      </c>
      <c r="O37" s="105"/>
    </row>
    <row r="38" spans="1:20" x14ac:dyDescent="0.2">
      <c r="A38" s="119">
        <f>INDEX($I$18:$J$26,MATCH(TermoTag!H38,$I$18:$I$26,0),MATCH($A$24,$I$17:$J$17,0))*TermoTag!F38</f>
        <v>0</v>
      </c>
      <c r="C38" s="135"/>
      <c r="I38" s="48"/>
      <c r="J38" s="48"/>
      <c r="K38" s="110"/>
      <c r="L38" s="45"/>
      <c r="M38" s="3" t="s">
        <v>18</v>
      </c>
    </row>
    <row r="39" spans="1:20" x14ac:dyDescent="0.2">
      <c r="A39" s="119">
        <f>INDEX($I$18:$J$26,MATCH(TermoTag!H39,$I$18:$I$26,0),MATCH($A$24,$I$17:$J$17,0))*TermoTag!F39</f>
        <v>35</v>
      </c>
      <c r="M39" s="3" t="s">
        <v>19</v>
      </c>
    </row>
    <row r="40" spans="1:20" x14ac:dyDescent="0.2">
      <c r="A40" s="120">
        <f>SUM(A25:A39)</f>
        <v>8275</v>
      </c>
      <c r="B40" s="13"/>
      <c r="Q40" s="13"/>
      <c r="R40" s="13"/>
    </row>
    <row r="41" spans="1:20" x14ac:dyDescent="0.2">
      <c r="B41" s="13"/>
      <c r="G41"/>
      <c r="M41" t="s">
        <v>86</v>
      </c>
      <c r="S41" s="13"/>
      <c r="T41" s="13"/>
    </row>
    <row r="42" spans="1:20" x14ac:dyDescent="0.2">
      <c r="B42" s="13"/>
      <c r="G42"/>
      <c r="I42" s="48"/>
      <c r="J42" s="48"/>
      <c r="M42" s="3" t="s">
        <v>18</v>
      </c>
      <c r="N42" s="138">
        <f>ROUNDUP(((((TermoTag!D25/1.5)+1)*TermoTag!F25)/10),0)</f>
        <v>4</v>
      </c>
      <c r="S42" s="13"/>
      <c r="T42" s="13"/>
    </row>
    <row r="43" spans="1:20" x14ac:dyDescent="0.2">
      <c r="G43"/>
      <c r="I43" s="13"/>
      <c r="K43" s="111"/>
      <c r="M43" s="3" t="s">
        <v>19</v>
      </c>
      <c r="N43" s="54">
        <v>0</v>
      </c>
      <c r="R43" s="11"/>
    </row>
    <row r="44" spans="1:20" x14ac:dyDescent="0.2">
      <c r="G44"/>
      <c r="I44" s="13"/>
      <c r="K44" s="111"/>
      <c r="M44" s="68"/>
      <c r="R44" s="11"/>
    </row>
    <row r="45" spans="1:20" x14ac:dyDescent="0.2">
      <c r="G45"/>
      <c r="I45" s="13"/>
      <c r="K45" s="111"/>
      <c r="M45" s="68"/>
    </row>
    <row r="46" spans="1:20" x14ac:dyDescent="0.2">
      <c r="G46"/>
      <c r="I46" s="13"/>
      <c r="K46" s="111"/>
      <c r="M46" s="68"/>
    </row>
    <row r="47" spans="1:20" x14ac:dyDescent="0.2">
      <c r="G47"/>
      <c r="I47" s="13"/>
      <c r="K47" s="112"/>
      <c r="L47" s="48"/>
      <c r="M47" s="68"/>
    </row>
    <row r="48" spans="1:20" x14ac:dyDescent="0.2">
      <c r="G48"/>
      <c r="I48" s="13"/>
      <c r="K48" s="112"/>
      <c r="L48" s="48"/>
      <c r="M48" s="68"/>
    </row>
    <row r="49" spans="7:13" x14ac:dyDescent="0.2">
      <c r="G49"/>
      <c r="I49" s="13"/>
      <c r="K49" s="112"/>
      <c r="L49" s="48"/>
      <c r="M49" s="68"/>
    </row>
    <row r="50" spans="7:13" x14ac:dyDescent="0.2">
      <c r="G50"/>
      <c r="I50" s="13"/>
      <c r="K50" s="112"/>
      <c r="L50" s="48"/>
      <c r="M50" s="68"/>
    </row>
    <row r="51" spans="7:13" x14ac:dyDescent="0.2">
      <c r="G51"/>
      <c r="I51" s="13"/>
      <c r="K51" s="112"/>
      <c r="L51" s="48"/>
      <c r="M51" s="68"/>
    </row>
    <row r="52" spans="7:13" x14ac:dyDescent="0.2">
      <c r="G52"/>
      <c r="I52" s="13"/>
      <c r="K52" s="112"/>
      <c r="L52" s="48"/>
      <c r="M52" s="68"/>
    </row>
    <row r="53" spans="7:13" x14ac:dyDescent="0.2">
      <c r="G53"/>
      <c r="I53" s="13"/>
      <c r="K53" s="112"/>
      <c r="L53" s="48"/>
      <c r="M53" s="68"/>
    </row>
    <row r="54" spans="7:13" x14ac:dyDescent="0.2">
      <c r="G54"/>
      <c r="I54" s="13"/>
      <c r="K54" s="112"/>
      <c r="L54" s="48"/>
      <c r="M54" s="68"/>
    </row>
    <row r="55" spans="7:13" x14ac:dyDescent="0.2">
      <c r="G55"/>
      <c r="I55" s="13"/>
      <c r="K55" s="112"/>
      <c r="L55" s="48"/>
      <c r="M55" s="68"/>
    </row>
    <row r="56" spans="7:13" x14ac:dyDescent="0.2">
      <c r="G56"/>
      <c r="I56" s="13"/>
      <c r="K56" s="112"/>
      <c r="L56" s="48"/>
      <c r="M56" s="68"/>
    </row>
    <row r="57" spans="7:13" x14ac:dyDescent="0.2">
      <c r="G57"/>
      <c r="I57" s="13"/>
      <c r="K57" s="112"/>
      <c r="L57" s="48"/>
      <c r="M57" s="68"/>
    </row>
    <row r="58" spans="7:13" x14ac:dyDescent="0.2">
      <c r="G58"/>
      <c r="I58" s="13"/>
      <c r="K58" s="112"/>
      <c r="L58" s="48"/>
      <c r="M58" s="68"/>
    </row>
    <row r="59" spans="7:13" x14ac:dyDescent="0.2">
      <c r="G59"/>
      <c r="I59" s="13"/>
      <c r="K59" s="111"/>
      <c r="M59" s="68"/>
    </row>
    <row r="60" spans="7:13" x14ac:dyDescent="0.2">
      <c r="G60"/>
      <c r="I60" s="13"/>
      <c r="K60" s="111"/>
      <c r="M60" s="68"/>
    </row>
    <row r="61" spans="7:13" x14ac:dyDescent="0.2">
      <c r="G61"/>
      <c r="I61" s="13"/>
      <c r="K61" s="111"/>
      <c r="M61" s="68"/>
    </row>
    <row r="62" spans="7:13" x14ac:dyDescent="0.2">
      <c r="G62"/>
      <c r="I62" s="13"/>
      <c r="K62" s="111"/>
      <c r="M62" s="68"/>
    </row>
    <row r="63" spans="7:13" x14ac:dyDescent="0.2">
      <c r="G63"/>
      <c r="I63" s="13"/>
      <c r="K63" s="111"/>
      <c r="M63" s="68"/>
    </row>
    <row r="64" spans="7:13" x14ac:dyDescent="0.2">
      <c r="G64"/>
      <c r="H64" s="78"/>
      <c r="I64" s="13"/>
      <c r="K64" s="111"/>
      <c r="M64" s="68"/>
    </row>
    <row r="65" spans="6:13" x14ac:dyDescent="0.2">
      <c r="G65"/>
      <c r="H65" s="78"/>
      <c r="I65" s="75"/>
      <c r="K65" s="111"/>
      <c r="M65" s="68"/>
    </row>
    <row r="66" spans="6:13" x14ac:dyDescent="0.2">
      <c r="F66" s="78"/>
      <c r="G66" s="75"/>
      <c r="H66" s="78"/>
      <c r="I66" s="75"/>
      <c r="K66" s="111"/>
      <c r="M66" s="68"/>
    </row>
    <row r="67" spans="6:13" x14ac:dyDescent="0.2">
      <c r="I67" s="75"/>
      <c r="K67" s="111"/>
    </row>
    <row r="86" spans="11:12" x14ac:dyDescent="0.2">
      <c r="K86" s="111"/>
      <c r="L86" s="68"/>
    </row>
    <row r="87" spans="11:12" x14ac:dyDescent="0.2">
      <c r="K87" s="111"/>
      <c r="L87" s="68"/>
    </row>
    <row r="88" spans="11:12" x14ac:dyDescent="0.2">
      <c r="K88" s="111"/>
      <c r="L88" s="68"/>
    </row>
    <row r="89" spans="11:12" x14ac:dyDescent="0.2">
      <c r="K89" s="111"/>
      <c r="L89" s="68"/>
    </row>
    <row r="107" spans="16:16" x14ac:dyDescent="0.2">
      <c r="P10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TermoTag</vt:lpstr>
      <vt:lpstr>Ark1</vt:lpstr>
      <vt:lpstr>TermoTag!Udskriftsområde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mads christian prytz</cp:lastModifiedBy>
  <cp:lastPrinted>2011-03-03T12:32:31Z</cp:lastPrinted>
  <dcterms:created xsi:type="dcterms:W3CDTF">1996-11-12T13:28:11Z</dcterms:created>
  <dcterms:modified xsi:type="dcterms:W3CDTF">2012-07-01T16:44:17Z</dcterms:modified>
</cp:coreProperties>
</file>